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48" yWindow="4596" windowWidth="15372" windowHeight="1248" activeTab="0"/>
  </bookViews>
  <sheets>
    <sheet name="Input" sheetId="1" r:id="rId1"/>
    <sheet name="Update Tables" sheetId="2" state="hidden" r:id="rId2"/>
    <sheet name="Export2" sheetId="3" state="hidden" r:id="rId3"/>
    <sheet name="Export" sheetId="4" state="hidden" r:id="rId4"/>
    <sheet name="ExportDemographics" sheetId="5" state="hidden" r:id="rId5"/>
    <sheet name="ExportBens" sheetId="6" state="hidden" r:id="rId6"/>
    <sheet name="Service Analysis" sheetId="7" r:id="rId7"/>
    <sheet name="GMM Confirmation" sheetId="8" r:id="rId8"/>
    <sheet name="Benefits Letter" sheetId="9" state="hidden" r:id="rId9"/>
    <sheet name="Tables" sheetId="10" state="hidden" r:id="rId10"/>
    <sheet name="Sheet2" sheetId="11" state="hidden" r:id="rId11"/>
  </sheets>
  <externalReferences>
    <externalReference r:id="rId14"/>
  </externalReferences>
  <definedNames>
    <definedName name="[1+I]">#REF!</definedName>
    <definedName name="[INTEREST]">#REF!</definedName>
    <definedName name="[MORT_TBL]">#REF!</definedName>
    <definedName name="[N]">#REF!</definedName>
    <definedName name="[STARTAGE]">#REF!</definedName>
    <definedName name="1ST_QX">#REF!</definedName>
    <definedName name="ANN">#REF!</definedName>
    <definedName name="APS_Married">'Update Tables'!$P$12:$R$61</definedName>
    <definedName name="APS_Single">'Update Tables'!$P$12:$Q$61</definedName>
    <definedName name="APSChurch">#REF!,#REF!,#REF!,#REF!,#REF!</definedName>
    <definedName name="APSHosp">#REF!,#REF!</definedName>
    <definedName name="Base">'Update Tables'!$AC$28</definedName>
    <definedName name="BenefitsStatement">'Benefits Letter'!$A$42:$D$61</definedName>
    <definedName name="BenefitType">#REF!</definedName>
    <definedName name="BirthYear">#REF!</definedName>
    <definedName name="BOY">#REF!</definedName>
    <definedName name="BRF">#REF!</definedName>
    <definedName name="BRFSpouse">#REF!</definedName>
    <definedName name="Can_month">'Update Tables'!$C$140:$D$164</definedName>
    <definedName name="Can_year">'Update Tables'!$D$140:$E$164</definedName>
    <definedName name="ChurchPF">'Update Tables'!$L$34:$M$69</definedName>
    <definedName name="ComparePage">#REF!</definedName>
    <definedName name="COMTN">#REF!</definedName>
    <definedName name="DBYears">#REF!</definedName>
    <definedName name="DOB">'Update Tables'!$G$11:$J$71</definedName>
    <definedName name="DVH">'Update Tables'!$AC$29</definedName>
    <definedName name="EARNEDCREDIT">'Update Tables'!$P$12:$S$61</definedName>
    <definedName name="female">'Update Tables'!$L$11:$N$29</definedName>
    <definedName name="GET_QX">#REF!</definedName>
    <definedName name="healthcare">#REF!</definedName>
    <definedName name="hospital_years">#REF!</definedName>
    <definedName name="HospPF">'Update Tables'!$L$34:$N$69</definedName>
    <definedName name="Hours">'[1]Tables'!$C$38:$D$138</definedName>
    <definedName name="HourstoSC">'Update Tables'!$C$36:$D$136</definedName>
    <definedName name="hpension_factor">'Update Tables'!$D$5</definedName>
    <definedName name="inpatient">#REF!</definedName>
    <definedName name="IP">'Tables'!$I$31:$K$75</definedName>
    <definedName name="LE_Hours">'Update Tables'!$E$36:$F$136</definedName>
    <definedName name="LE68_81">'Update Tables'!$G$74:$H$174</definedName>
    <definedName name="LE81_82">'Update Tables'!$I$74:$J$174</definedName>
    <definedName name="LEFemale">'Update Tables'!$K$73:$L$174</definedName>
    <definedName name="Location">'Tables'!$K$24:$K$26</definedName>
    <definedName name="male">'Update Tables'!$L$11:$M$29</definedName>
    <definedName name="Marital">'[1]Tables'!$G$24:$G$26</definedName>
    <definedName name="MCB">'Update Tables'!$L$49:$O$67</definedName>
    <definedName name="MCRate">'Update Tables'!$X$31:$AA$75</definedName>
    <definedName name="MCX">'Update Tables'!$AC$31</definedName>
    <definedName name="Medicare">'Update Tables'!$P$12:$V$61</definedName>
    <definedName name="MedicareB">'Update Tables'!$P$12:$V$61</definedName>
    <definedName name="MOBTable">#REF!</definedName>
    <definedName name="Month_Lookup">'Update Tables'!$AE$9:$AF$20</definedName>
    <definedName name="months">'Update Tables'!$C$9:$D$34</definedName>
    <definedName name="MtoY">'Update Tables'!$C$9:$D$34</definedName>
    <definedName name="nad_db">#REF!</definedName>
    <definedName name="NonMC">'Update Tables'!$AC$33</definedName>
    <definedName name="NonMedicare">'Update Tables'!$P$12:$U$61</definedName>
    <definedName name="NRA">'Update Tables'!$G$11:$H$71</definedName>
    <definedName name="NRA_month">'Update Tables'!$G$11:$I$71</definedName>
    <definedName name="NRA_Year">'Update Tables'!$G$11:$H$71</definedName>
    <definedName name="NRMonth">'Update Tables'!$G$11:$I$71</definedName>
    <definedName name="NY">'Tables'!$M$24:$M$25</definedName>
    <definedName name="OldOP">'Update Tables'!$X$31:$Y$75</definedName>
    <definedName name="OP">'Tables'!$I$31:$J$75</definedName>
    <definedName name="outpatient">#REF!</definedName>
    <definedName name="Pension_Factor">'Update Tables'!$D$4</definedName>
    <definedName name="PensionCode">#REF!</definedName>
    <definedName name="PreMC">'Update Tables'!$AC$32</definedName>
    <definedName name="PreMedicare">'Update Tables'!$P$12:$T$61</definedName>
    <definedName name="_xlnm.Print_Area" localSheetId="8">'Benefits Letter'!$A$1:$D$65</definedName>
    <definedName name="_xlnm.Print_Area" localSheetId="3">'Export'!$A$1:$F$183</definedName>
    <definedName name="_xlnm.Print_Area" localSheetId="2">'Export2'!$A$1:$J$102</definedName>
    <definedName name="_xlnm.Print_Area" localSheetId="0">'Input'!$A$1:$D$56</definedName>
    <definedName name="_xlnm.Print_Area" localSheetId="1">'Update Tables'!$P$8:$W$61</definedName>
    <definedName name="QX_NAME">#REF!</definedName>
    <definedName name="QX_TABLE">#REF!</definedName>
    <definedName name="RetAge">#REF!</definedName>
    <definedName name="Rx">'Update Tables'!$AC$30</definedName>
    <definedName name="SHARP_Category">'Update Tables'!$P$12:$W$61</definedName>
    <definedName name="SHARP_Years">#REF!</definedName>
    <definedName name="Test_Text_File" localSheetId="0">'Input'!#REF!</definedName>
    <definedName name="Test_Text_File_1" localSheetId="0">'Input'!#REF!</definedName>
    <definedName name="UnionAddress">#REF!</definedName>
    <definedName name="UnionCity">#REF!</definedName>
    <definedName name="UnionCountry">#REF!</definedName>
    <definedName name="UnionFax">#REF!</definedName>
    <definedName name="UnionName">#REF!</definedName>
    <definedName name="UnionPhone">#REF!</definedName>
    <definedName name="UnionState">#REF!</definedName>
    <definedName name="UnionZip">#REF!</definedName>
    <definedName name="YearsRate">'[1]Tables'!$O$12:$Q$51</definedName>
    <definedName name="YN">'Tables'!$M$23:$M$25</definedName>
    <definedName name="YOB">#REF!</definedName>
    <definedName name="YOBTable">#REF!</definedName>
    <definedName name="YRF_BRF">'Update Tables'!$A$10:$B$101</definedName>
    <definedName name="YRFList">#REF!</definedName>
    <definedName name="YRtoMO">'Update Tables'!$D$9:$E$34</definedName>
    <definedName name="YtoM">'Update Tables'!$D$9:$E$34</definedName>
  </definedNames>
  <calcPr fullCalcOnLoad="1"/>
</workbook>
</file>

<file path=xl/comments1.xml><?xml version="1.0" encoding="utf-8"?>
<comments xmlns="http://schemas.openxmlformats.org/spreadsheetml/2006/main">
  <authors>
    <author>TaraMead</author>
    <author>Tara Mead</author>
    <author>Delbert Johnson</author>
  </authors>
  <commentList>
    <comment ref="B30" authorId="0">
      <text>
        <r>
          <rPr>
            <b/>
            <sz val="8"/>
            <rFont val="Tahoma"/>
            <family val="2"/>
          </rPr>
          <t xml:space="preserve">Can be found at www.eadventist.org under "search organizations". Look for "OrgCode" under "more info" </t>
        </r>
        <r>
          <rPr>
            <sz val="8"/>
            <rFont val="Tahoma"/>
            <family val="2"/>
          </rPr>
          <t xml:space="preserve">
</t>
        </r>
      </text>
    </comment>
    <comment ref="B25" authorId="1">
      <text>
        <r>
          <rPr>
            <b/>
            <sz val="9"/>
            <rFont val="Tahoma"/>
            <family val="2"/>
          </rPr>
          <t>If spouse is widowed or divorced - please leave spouse info and date of marriage blank</t>
        </r>
        <r>
          <rPr>
            <sz val="9"/>
            <rFont val="Tahoma"/>
            <family val="2"/>
          </rPr>
          <t xml:space="preserve">
</t>
        </r>
      </text>
    </comment>
    <comment ref="C44" authorId="2">
      <text>
        <r>
          <rPr>
            <b/>
            <sz val="9"/>
            <rFont val="Tahoma"/>
            <family val="2"/>
          </rPr>
          <t>Usually where work assignment was done. SSD has traditionally applied ZA 41 12 in cases where employment ended in Guam after island employment.</t>
        </r>
        <r>
          <rPr>
            <sz val="9"/>
            <rFont val="Tahoma"/>
            <family val="2"/>
          </rPr>
          <t xml:space="preserve">
</t>
        </r>
      </text>
    </comment>
    <comment ref="C41" authorId="2">
      <text>
        <r>
          <rPr>
            <b/>
            <sz val="9"/>
            <rFont val="Tahoma"/>
            <family val="2"/>
          </rPr>
          <t>Eligibility requires going directly from employment for at least one year into retirement. ZA 46</t>
        </r>
      </text>
    </comment>
    <comment ref="C42" authorId="2">
      <text>
        <r>
          <rPr>
            <b/>
            <sz val="9"/>
            <rFont val="Tahoma"/>
            <family val="2"/>
          </rPr>
          <t>See ZA 46 for Sharing provisions by employer within last nine years of service.</t>
        </r>
        <r>
          <rPr>
            <sz val="9"/>
            <rFont val="Tahoma"/>
            <family val="2"/>
          </rPr>
          <t xml:space="preserve">
</t>
        </r>
      </text>
    </comment>
  </commentList>
</comments>
</file>

<file path=xl/comments4.xml><?xml version="1.0" encoding="utf-8"?>
<comments xmlns="http://schemas.openxmlformats.org/spreadsheetml/2006/main">
  <authors>
    <author>Del Johnson</author>
  </authors>
  <commentList>
    <comment ref="B53" authorId="0">
      <text>
        <r>
          <rPr>
            <b/>
            <sz val="10"/>
            <rFont val="Tahoma"/>
            <family val="2"/>
          </rPr>
          <t>Max of 5 post-sale (1983) years. Reduces Church YSC above.</t>
        </r>
        <r>
          <rPr>
            <sz val="10"/>
            <rFont val="Tahoma"/>
            <family val="2"/>
          </rPr>
          <t xml:space="preserve">
</t>
        </r>
      </text>
    </comment>
    <comment ref="B113" authorId="0">
      <text>
        <r>
          <rPr>
            <b/>
            <sz val="10"/>
            <rFont val="Tahoma"/>
            <family val="2"/>
          </rPr>
          <t xml:space="preserve">Includes CCO Years
</t>
        </r>
        <r>
          <rPr>
            <sz val="10"/>
            <rFont val="Tahoma"/>
            <family val="2"/>
          </rPr>
          <t xml:space="preserve">
</t>
        </r>
      </text>
    </comment>
  </commentList>
</comments>
</file>

<file path=xl/comments7.xml><?xml version="1.0" encoding="utf-8"?>
<comments xmlns="http://schemas.openxmlformats.org/spreadsheetml/2006/main">
  <authors>
    <author>Tara Mead</author>
  </authors>
  <commentList>
    <comment ref="Q39" authorId="0">
      <text>
        <r>
          <rPr>
            <b/>
            <sz val="9"/>
            <rFont val="Tahoma"/>
            <family val="2"/>
          </rPr>
          <t>Enter Remuneration % for Post-Freeze Years to provide information for Pension Rate Factor.</t>
        </r>
        <r>
          <rPr>
            <sz val="9"/>
            <rFont val="Tahoma"/>
            <family val="2"/>
          </rPr>
          <t xml:space="preserve">
</t>
        </r>
      </text>
    </comment>
  </commentList>
</comments>
</file>

<file path=xl/comments8.xml><?xml version="1.0" encoding="utf-8"?>
<comments xmlns="http://schemas.openxmlformats.org/spreadsheetml/2006/main">
  <authors>
    <author>Delbert Johnson</author>
  </authors>
  <commentList>
    <comment ref="C23" authorId="0">
      <text>
        <r>
          <rPr>
            <b/>
            <sz val="9"/>
            <rFont val="Tahoma"/>
            <family val="2"/>
          </rPr>
          <t>Maximum of 9 months wages. See ZA 46.</t>
        </r>
        <r>
          <rPr>
            <sz val="9"/>
            <rFont val="Tahoma"/>
            <family val="2"/>
          </rPr>
          <t xml:space="preserve">
</t>
        </r>
      </text>
    </comment>
  </commentList>
</comments>
</file>

<file path=xl/sharedStrings.xml><?xml version="1.0" encoding="utf-8"?>
<sst xmlns="http://schemas.openxmlformats.org/spreadsheetml/2006/main" count="1322" uniqueCount="881">
  <si>
    <t>Parsonage Allowance Exclusion Eligible?</t>
  </si>
  <si>
    <t>USA</t>
  </si>
  <si>
    <t xml:space="preserve">   Suffix (Dr. etc)</t>
  </si>
  <si>
    <t xml:space="preserve">   Spouse Suffix (Dr. etc)</t>
  </si>
  <si>
    <t xml:space="preserve">   Name  Last/Middle/First</t>
  </si>
  <si>
    <t xml:space="preserve">  Name   Last/Middle/First</t>
  </si>
  <si>
    <t>Member of what Conference?</t>
  </si>
  <si>
    <t>Export Page</t>
  </si>
  <si>
    <t>20, 21, ???</t>
  </si>
  <si>
    <t>BRF</t>
  </si>
  <si>
    <t>Years</t>
  </si>
  <si>
    <t>Months</t>
  </si>
  <si>
    <t>Church</t>
  </si>
  <si>
    <t>Hospital</t>
  </si>
  <si>
    <t>Total</t>
  </si>
  <si>
    <t>Year of Birth Table</t>
  </si>
  <si>
    <t>Decimal</t>
  </si>
  <si>
    <t>Annuity Tables</t>
  </si>
  <si>
    <t>Healthcare Assistance Table</t>
  </si>
  <si>
    <t>83IAM-F-SB3</t>
  </si>
  <si>
    <t>APS 1</t>
  </si>
  <si>
    <t>APS 2</t>
  </si>
  <si>
    <t>Earned</t>
  </si>
  <si>
    <t>MALE</t>
  </si>
  <si>
    <t>FEMALE</t>
  </si>
  <si>
    <t>Year</t>
  </si>
  <si>
    <t>Credit</t>
  </si>
  <si>
    <t>If Healthcare Eligible, Per Person</t>
  </si>
  <si>
    <t>Medicare B Premium</t>
  </si>
  <si>
    <t>Medicare:</t>
  </si>
  <si>
    <t>35+ Years</t>
  </si>
  <si>
    <t>30-34 Years</t>
  </si>
  <si>
    <t>25-29 Years</t>
  </si>
  <si>
    <t>20-24 Years</t>
  </si>
  <si>
    <t>15-19 Years</t>
  </si>
  <si>
    <t>1-4 Years</t>
  </si>
  <si>
    <t>Survivor Benefits</t>
  </si>
  <si>
    <t>Lake Union Address Change</t>
  </si>
  <si>
    <t>dj</t>
  </si>
  <si>
    <t>ss</t>
  </si>
  <si>
    <t>Divorce' added to Benefit Type box.</t>
  </si>
  <si>
    <t>More info in the dropdown lists</t>
  </si>
  <si>
    <t>Fix Death Benefit for 40+ years. limit to 40 years.</t>
  </si>
  <si>
    <t>Overide death benefits for J&amp;S spouse</t>
  </si>
  <si>
    <t>Deleted 'eligible/ineligible' for SA. Let them figure it out.</t>
  </si>
  <si>
    <t>Spouse DOD</t>
  </si>
  <si>
    <t xml:space="preserve">   Country</t>
  </si>
  <si>
    <t xml:space="preserve">   SS#/SI#</t>
  </si>
  <si>
    <t xml:space="preserve">Hospital </t>
  </si>
  <si>
    <t>LLF</t>
  </si>
  <si>
    <t xml:space="preserve">   Single Life</t>
  </si>
  <si>
    <t xml:space="preserve">   Joint &amp; Survivor</t>
  </si>
  <si>
    <t xml:space="preserve">   Early Retirement Reduction</t>
  </si>
  <si>
    <t xml:space="preserve">   Transitional Enhancement</t>
  </si>
  <si>
    <t xml:space="preserve">   Accrued Pension Supplement</t>
  </si>
  <si>
    <t xml:space="preserve">      Net Benefit</t>
  </si>
  <si>
    <t>LLFoods</t>
  </si>
  <si>
    <t>Correct APS Calculation for mixed service, 3rd "Y or N", Q39</t>
  </si>
  <si>
    <t xml:space="preserve">Sharon did some cosmetic changes - color blocks etc. </t>
  </si>
  <si>
    <t>I fixed some resulting printing errors - margins mostly.</t>
  </si>
  <si>
    <t>Still need to work on her divorce tab.</t>
  </si>
  <si>
    <t xml:space="preserve">Added emphasis to W-4 - error message. </t>
  </si>
  <si>
    <t>Added page numbers to application form.</t>
  </si>
  <si>
    <t xml:space="preserve">       Grand Total Years</t>
  </si>
  <si>
    <t xml:space="preserve">   Spouse Allowance</t>
  </si>
  <si>
    <t>Retiree Gender</t>
  </si>
  <si>
    <t>Phone - Regular</t>
  </si>
  <si>
    <t>Phone - Mobile</t>
  </si>
  <si>
    <t>E-Mail Address</t>
  </si>
  <si>
    <t>Retiree Date of Hire</t>
  </si>
  <si>
    <t>Employee Date of Termination</t>
  </si>
  <si>
    <t>Retiring Employer</t>
  </si>
  <si>
    <t>Church Early Ret Reduction %</t>
  </si>
  <si>
    <t>LLF Early Ret Reduction %</t>
  </si>
  <si>
    <t>Transitional Enhancement %</t>
  </si>
  <si>
    <t>A</t>
  </si>
  <si>
    <t>B</t>
  </si>
  <si>
    <t>C</t>
  </si>
  <si>
    <t>D</t>
  </si>
  <si>
    <t>E</t>
  </si>
  <si>
    <t>F</t>
  </si>
  <si>
    <t>G</t>
  </si>
  <si>
    <t>SHARP</t>
  </si>
  <si>
    <t>S.H.A.R.P.</t>
  </si>
  <si>
    <t xml:space="preserve">   S.H.A.R.P. Category</t>
  </si>
  <si>
    <t>S.H.A.R.P. Dependents</t>
  </si>
  <si>
    <t>Retirement Allowance - Non-Taxable</t>
  </si>
  <si>
    <t>Retirement Allowance - Taxable</t>
  </si>
  <si>
    <t xml:space="preserve">   DOD</t>
  </si>
  <si>
    <t xml:space="preserve">   Foreign Service</t>
  </si>
  <si>
    <t xml:space="preserve">   Previous Last Name</t>
  </si>
  <si>
    <t xml:space="preserve">   Spouse Previous Name</t>
  </si>
  <si>
    <t xml:space="preserve">   Spouse Gender</t>
  </si>
  <si>
    <t>SI#</t>
  </si>
  <si>
    <t xml:space="preserve">      Basic Benefit</t>
  </si>
  <si>
    <t>Percent of B Prem</t>
  </si>
  <si>
    <t>Hosp</t>
  </si>
  <si>
    <t xml:space="preserve">      Totals</t>
  </si>
  <si>
    <t>Foreign Div. Benefit Amount #1</t>
  </si>
  <si>
    <t>Foreign Div. Benefit Amount #2</t>
  </si>
  <si>
    <t>Foreign Div. Name #1</t>
  </si>
  <si>
    <t>Foreign Div. Name #2</t>
  </si>
  <si>
    <t>Date of Payment</t>
  </si>
  <si>
    <t>Hosp. Lump Sum - Non-Taxable</t>
  </si>
  <si>
    <t>Hosp. Lump Sum - Taxable</t>
  </si>
  <si>
    <t>SHARP application "Required" if "Eligible" even if not applying for.</t>
  </si>
  <si>
    <t>Benefits Letters include both Hosp &amp; Church shared service in estimating</t>
  </si>
  <si>
    <t>survivor spouse allowance.</t>
  </si>
  <si>
    <t>MC/B</t>
  </si>
  <si>
    <t>(Hospital)</t>
  </si>
  <si>
    <t>Medicare</t>
  </si>
  <si>
    <t>SHARP Cat: on Benefits Letter page only if "Earned Credit" = "Y"</t>
  </si>
  <si>
    <t>Rem%</t>
  </si>
  <si>
    <t>(Church)</t>
  </si>
  <si>
    <t>Fix Gray box on DB tab to pro-rate ITR Adjustment</t>
  </si>
  <si>
    <t>Re-do Divorce Tab</t>
  </si>
  <si>
    <t>DOB</t>
  </si>
  <si>
    <t>SS#</t>
  </si>
  <si>
    <t>Standard</t>
  </si>
  <si>
    <t>Pre-MC</t>
  </si>
  <si>
    <t>Non-MC</t>
  </si>
  <si>
    <t>Fix pro-rated SS SA on letters</t>
  </si>
  <si>
    <t>Got rid of xc on pre-retiree SS letter if no employer listed.</t>
  </si>
  <si>
    <t>Eliminated pre-ret SS calculations on Benefits Letter</t>
  </si>
  <si>
    <t>Fix APS so D25 blank = "n"</t>
  </si>
  <si>
    <t>Changed question for SA to limit to Church SA. Adjusted comment and separated eligibility calc for hospital.</t>
  </si>
  <si>
    <t>Service Analysis tab LE locked pre-1981 service.</t>
  </si>
  <si>
    <t>Import: Change upload instructions - "Don't Email."</t>
  </si>
  <si>
    <t>Benefit Rate Factor</t>
  </si>
  <si>
    <t>Month Lookup</t>
  </si>
  <si>
    <t>January</t>
  </si>
  <si>
    <t>February</t>
  </si>
  <si>
    <t>March</t>
  </si>
  <si>
    <t>April</t>
  </si>
  <si>
    <t>May</t>
  </si>
  <si>
    <t>June</t>
  </si>
  <si>
    <t>July</t>
  </si>
  <si>
    <t>August</t>
  </si>
  <si>
    <t>September</t>
  </si>
  <si>
    <t>October</t>
  </si>
  <si>
    <t>November</t>
  </si>
  <si>
    <t>December</t>
  </si>
  <si>
    <t>Calculated Benefits</t>
  </si>
  <si>
    <t>Phone</t>
  </si>
  <si>
    <t>Date of Marriage</t>
  </si>
  <si>
    <t>(2008 $96.40)</t>
  </si>
  <si>
    <t>Retiree</t>
  </si>
  <si>
    <t>Type</t>
  </si>
  <si>
    <t>DC Years</t>
  </si>
  <si>
    <t>Spouse SS#</t>
  </si>
  <si>
    <t>Pension Code</t>
  </si>
  <si>
    <t>12501 Old Columbia Pike</t>
  </si>
  <si>
    <t>Date of Ordination</t>
  </si>
  <si>
    <t>Round in Retro or Int tab E54 and E61.</t>
  </si>
  <si>
    <t>Limit APS if less than one year.</t>
  </si>
  <si>
    <t>Amount</t>
  </si>
  <si>
    <t>Service Analysis DC less than .5 - shouldn't add.</t>
  </si>
  <si>
    <t>Over-ride calculation for Earned Credit. See G30 note.</t>
  </si>
  <si>
    <t>Correct Service Analysis if year &gt; 1YSC. Adjustment made to church service.</t>
  </si>
  <si>
    <t>Add LE YSC to Church YSC in Service Analysis.</t>
  </si>
  <si>
    <t>10.92a</t>
  </si>
  <si>
    <t>Cosmetics on LE on Service Analysis tab</t>
  </si>
  <si>
    <t>Del</t>
  </si>
  <si>
    <t>Add note on import page re Hospital benefits.</t>
  </si>
  <si>
    <t>Change Benefits Letter &amp; Est Stmt. Fixes Ch/Cdn mixed service. I don't know what this does.</t>
  </si>
  <si>
    <t>Fix Benefits letter to NOT show ERR% if none.</t>
  </si>
  <si>
    <t>Early Retirement Disclosure - limit to hospital in header, remove hospital date.</t>
  </si>
  <si>
    <t>Original Date of Hire</t>
  </si>
  <si>
    <t>JK &amp; SS</t>
  </si>
  <si>
    <t>Checklist at end of application.</t>
  </si>
  <si>
    <t>LW</t>
  </si>
  <si>
    <t>Add Hospital Lump Sum Payout to Estimate</t>
  </si>
  <si>
    <t>Death Benefit estimate fix; don't include hospital years to qualify.</t>
  </si>
  <si>
    <t>Include Canada years for "Eligible" on application for healthcare.</t>
  </si>
  <si>
    <t>Fix calculation of SSSA.</t>
  </si>
  <si>
    <t>Sharri</t>
  </si>
  <si>
    <t>Add name of employing organization to RA Authorization form on Application.</t>
  </si>
  <si>
    <t>Connie S</t>
  </si>
  <si>
    <t>Add 10year limit to comments re SA Eligibility on Application form.</t>
  </si>
  <si>
    <t>Add In-Service Distribution Disclosure to Application</t>
  </si>
  <si>
    <t>SS</t>
  </si>
  <si>
    <t>Fix hospital fields on DB Benefits to not show dates if Application hosp fields are empty.</t>
  </si>
  <si>
    <t>Add ITR field to gray box on DB Benefits page</t>
  </si>
  <si>
    <t>Add comment on DB tab so staff can know where to enter Medicare Reimbursement info</t>
  </si>
  <si>
    <t>Add total to V column on Service Analysis</t>
  </si>
  <si>
    <t>Lock post-2004 years for YRF</t>
  </si>
  <si>
    <t>Awaiting Sharon's cosmetic changes</t>
  </si>
  <si>
    <t>Updated Moody Baa to December 6.</t>
  </si>
  <si>
    <t>BRF Calc</t>
  </si>
  <si>
    <t>Get rid of the "hospital blurb." merely changed "y" to "n".</t>
  </si>
  <si>
    <t>Get rid of the 'other service' blurb on benefits letter.</t>
  </si>
  <si>
    <t>Average</t>
  </si>
  <si>
    <t>Spouse</t>
  </si>
  <si>
    <t>Change default answers on application</t>
  </si>
  <si>
    <t>Create auto calc Service Type, C, H or Mixed</t>
  </si>
  <si>
    <t>Base hospital 'error' messages on Service Type</t>
  </si>
  <si>
    <t>Adjust some comments for above.</t>
  </si>
  <si>
    <t>Eliminated gray background - View &gt; Normal</t>
  </si>
  <si>
    <t>Unlocked cell B 117 on application</t>
  </si>
  <si>
    <t>Copies Retiree Conf Membership from Ap to DB Ben.</t>
  </si>
  <si>
    <t>Reword A46 on Application cell tab</t>
  </si>
  <si>
    <t>Info re insurance conversion in application form.</t>
  </si>
  <si>
    <t>Delete unused "Names" so this will work on Excel 2007.</t>
  </si>
  <si>
    <t>LE81_82</t>
  </si>
  <si>
    <t>LEFemale</t>
  </si>
  <si>
    <t>Fix letters for Pre-Ret Survivor Benefits</t>
  </si>
  <si>
    <t>Add checklist to application</t>
  </si>
  <si>
    <t>City</t>
  </si>
  <si>
    <t>Benefits Calculator Import Page</t>
  </si>
  <si>
    <t>First Name</t>
  </si>
  <si>
    <t>Last Name</t>
  </si>
  <si>
    <t>Zip Code</t>
  </si>
  <si>
    <t>Social Security #</t>
  </si>
  <si>
    <t>Date of Birth</t>
  </si>
  <si>
    <t>Gender</t>
  </si>
  <si>
    <t>Marital Status</t>
  </si>
  <si>
    <t>Credentials</t>
  </si>
  <si>
    <t>Spouse Date of Birth</t>
  </si>
  <si>
    <t>North American Division</t>
  </si>
  <si>
    <t>Retirement</t>
  </si>
  <si>
    <t>Silver Spring, MD 20904-6600</t>
  </si>
  <si>
    <t>Phone 301-680-6249</t>
  </si>
  <si>
    <t>Fax 301-680-6190</t>
  </si>
  <si>
    <t>E-mail NADRetirement@nad.adventist.org</t>
  </si>
  <si>
    <t>Benefits</t>
  </si>
  <si>
    <t>Moody Baa updated to 12/31/2007</t>
  </si>
  <si>
    <t>Warning: This page must remain unlocked and unprotected. Be careful where you enter data.</t>
  </si>
  <si>
    <t>Retirement Effective Date</t>
  </si>
  <si>
    <t xml:space="preserve">Retiree </t>
  </si>
  <si>
    <t xml:space="preserve">   DOB</t>
  </si>
  <si>
    <t>Address</t>
  </si>
  <si>
    <t xml:space="preserve">   Address #1</t>
  </si>
  <si>
    <t xml:space="preserve">   Address #2</t>
  </si>
  <si>
    <t xml:space="preserve">   City/State/Zip</t>
  </si>
  <si>
    <t>Service</t>
  </si>
  <si>
    <t xml:space="preserve">   Church YSC</t>
  </si>
  <si>
    <t xml:space="preserve">   LLF YSC</t>
  </si>
  <si>
    <t xml:space="preserve">   HSP YSC</t>
  </si>
  <si>
    <t xml:space="preserve">   CDN YSC</t>
  </si>
  <si>
    <t xml:space="preserve">   DC Years</t>
  </si>
  <si>
    <t>J&amp;S Rate? T/F</t>
  </si>
  <si>
    <t>Spouse Age Deduction %</t>
  </si>
  <si>
    <t>Net Deduction %</t>
  </si>
  <si>
    <t>Spouse Allowance: T/F</t>
  </si>
  <si>
    <t>HSP Spouse Allowance</t>
  </si>
  <si>
    <t>Total CH/LLF/HSP Spouse Allowance</t>
  </si>
  <si>
    <t>Accrued Pension Supplement: T/F</t>
  </si>
  <si>
    <t xml:space="preserve">   CH APS</t>
  </si>
  <si>
    <t xml:space="preserve">   LLF APS</t>
  </si>
  <si>
    <t xml:space="preserve">   HSP APS</t>
  </si>
  <si>
    <t xml:space="preserve">   Total APS</t>
  </si>
  <si>
    <t>SS Benefits SA Pro-Ration %</t>
  </si>
  <si>
    <t>Medical (T/F)</t>
  </si>
  <si>
    <t>MC%:</t>
  </si>
  <si>
    <t xml:space="preserve">   Retiree %</t>
  </si>
  <si>
    <t xml:space="preserve">   Spouse %</t>
  </si>
  <si>
    <t>DB %</t>
  </si>
  <si>
    <t>Ordination Date &amp; %</t>
  </si>
  <si>
    <t>Employer Representative</t>
  </si>
  <si>
    <t>Union Representative</t>
  </si>
  <si>
    <t>Employer Name</t>
  </si>
  <si>
    <t>Union Conference</t>
  </si>
  <si>
    <t>Remarks</t>
  </si>
  <si>
    <t xml:space="preserve">      Total DB YSC</t>
  </si>
  <si>
    <t>CH SA-AGE% deduction-ERR</t>
  </si>
  <si>
    <t>LLF SA-AGE% deduction-ERR</t>
  </si>
  <si>
    <t>Payroll</t>
  </si>
  <si>
    <t>Limit ERR% on Letter and Hospital.</t>
  </si>
  <si>
    <t>From Foreign Div. Benefits Request.</t>
  </si>
  <si>
    <t>Direct Deposit Data:</t>
  </si>
  <si>
    <t>Form W4p</t>
  </si>
  <si>
    <t>http://www.federalreserve.gov/releases/h15/data.htm</t>
  </si>
  <si>
    <t>Last Employer</t>
  </si>
  <si>
    <t>Enhance comment on Applications re RA and Wages.</t>
  </si>
  <si>
    <t>Number of Allowances Claimed</t>
  </si>
  <si>
    <t>Marital Status (S/M)</t>
  </si>
  <si>
    <t>Do NOT Withhold?</t>
  </si>
  <si>
    <t>Pension Factor</t>
  </si>
  <si>
    <t>Base</t>
  </si>
  <si>
    <t>DVH</t>
  </si>
  <si>
    <t>Rx</t>
  </si>
  <si>
    <t>MCX</t>
  </si>
  <si>
    <t>PreMC</t>
  </si>
  <si>
    <t>NonMC</t>
  </si>
  <si>
    <t>MC-B</t>
  </si>
  <si>
    <t xml:space="preserve">No Lookups here. </t>
  </si>
  <si>
    <t>To Update Tables for New Year:</t>
  </si>
  <si>
    <t>3.  This Page:</t>
  </si>
  <si>
    <t>Update Earned Credit Table, x8</t>
  </si>
  <si>
    <t>Update SHARP Costs, AB26</t>
  </si>
  <si>
    <t>Update Moody, F3</t>
  </si>
  <si>
    <t>Update Pension Factors, Medicare B, M61</t>
  </si>
  <si>
    <t>Update Tables:</t>
  </si>
  <si>
    <t>Scratch pad only.</t>
  </si>
  <si>
    <t xml:space="preserve">Additional Dollar Amount </t>
  </si>
  <si>
    <t>Shared DB YSC</t>
  </si>
  <si>
    <t>DB YSC</t>
  </si>
  <si>
    <t xml:space="preserve">   OP% - Retiree</t>
  </si>
  <si>
    <t xml:space="preserve">   OP% - Spouse</t>
  </si>
  <si>
    <t>Insurx: F/S/D</t>
  </si>
  <si>
    <t xml:space="preserve">   DOM</t>
  </si>
  <si>
    <t>Old Medical IP/OP Tables</t>
  </si>
  <si>
    <t>SC</t>
  </si>
  <si>
    <t>OP</t>
  </si>
  <si>
    <t>IP</t>
  </si>
  <si>
    <t>Over-ride if Spouse rate should be different than retiree.</t>
  </si>
  <si>
    <t>Joyce K</t>
  </si>
  <si>
    <t>Correct negative interest for lump sum pmt on time.</t>
  </si>
  <si>
    <t>LE68_81</t>
  </si>
  <si>
    <t>DJ</t>
  </si>
  <si>
    <t>Add Plan address to Check Request on Hosp LS Confirm if 'not taxable'</t>
  </si>
  <si>
    <t>Fix TE% if no church years to read 0%</t>
  </si>
  <si>
    <t>http://www.federalreserve.gov/releases/h15/update/</t>
  </si>
  <si>
    <t>SHARP Cat: not correct. In case of over-ride in DB_Benefits tab G30.</t>
  </si>
  <si>
    <t>App Tab F127 change from % format</t>
  </si>
  <si>
    <t>App Tab F198 to "N" from 'Not Required'</t>
  </si>
  <si>
    <t>DB Ben Tab I5-I8 unlocked</t>
  </si>
  <si>
    <t>Total re-do of Divorce tab. Still experimental.</t>
  </si>
  <si>
    <t>Fixed Termination Date on Application Page to not show 1900 If blank.</t>
  </si>
  <si>
    <t>Change font, primary employer data.</t>
  </si>
  <si>
    <t>Fix sum in Pre-Retirement Survivor Letter. D54.</t>
  </si>
  <si>
    <t>Benefits Letter font for date so September will fit.</t>
  </si>
  <si>
    <t>Widen column on import.</t>
  </si>
  <si>
    <t>Age Reduction for Spouse Allowance SLA</t>
  </si>
  <si>
    <t>Change default answers to blank rather than 'n'</t>
  </si>
  <si>
    <t>To 2008 - awaiting Moody baa 12/31/2007</t>
  </si>
  <si>
    <t>Service Analysis warning in case of fatal break. Calc manually.</t>
  </si>
  <si>
    <t>Version Updates:</t>
  </si>
  <si>
    <t>Version</t>
  </si>
  <si>
    <t>Req By</t>
  </si>
  <si>
    <t>Chandler</t>
  </si>
  <si>
    <t>J&amp;S Reduction Calculation</t>
  </si>
  <si>
    <t>Lyn</t>
  </si>
  <si>
    <t>RA boxes on application on same page</t>
  </si>
  <si>
    <t>Kristina</t>
  </si>
  <si>
    <t>No entry on direct deposit application</t>
  </si>
  <si>
    <t>Canada Months Conversion</t>
  </si>
  <si>
    <t>Sharon</t>
  </si>
  <si>
    <t>Canada conversion</t>
  </si>
  <si>
    <t>Password protect instructions before mailing.</t>
  </si>
  <si>
    <t>Work on Service Analysis</t>
  </si>
  <si>
    <t>Correct est Survivor Benefit Spouse Allowance</t>
  </si>
  <si>
    <t>Joyce</t>
  </si>
  <si>
    <t>Service Analysis limits</t>
  </si>
  <si>
    <t>Additions per type of service are not correct if unqualifying fractional years.</t>
  </si>
  <si>
    <t>Move Church Breakout Table on DB tab.</t>
  </si>
  <si>
    <t>Memo for RA to update for COLA on Application Tab.</t>
  </si>
  <si>
    <t>Add employer to RA authorization form.</t>
  </si>
  <si>
    <t>Signature line on app, line 68 for 'witness'</t>
  </si>
  <si>
    <t>Correct Shared Service comments and limit on algorithm on C36 DB Benefits</t>
  </si>
  <si>
    <t>CCO Formula in Service Analysis Tab - $$$</t>
  </si>
  <si>
    <t>MV found this.</t>
  </si>
  <si>
    <t>Add SHARP deduction to Benefits Letter Survivor Section</t>
  </si>
  <si>
    <t>Add SHARP deduction to Est Letter Survivor Section</t>
  </si>
  <si>
    <t>Added Pro-Rated Table on DB Benefits sheet. I don't know what this is.</t>
  </si>
  <si>
    <t>Add "Office Use Only" statement on DB Benefits sheet.</t>
  </si>
  <si>
    <t>If DC = "", then TE is $0.00 on Benefits page.</t>
  </si>
  <si>
    <t>Fix various formulae on Letter &amp; Est. See "Lesko" file.</t>
  </si>
  <si>
    <t>Cost</t>
  </si>
  <si>
    <t>Service Analysis - BRF to 2 decimal places</t>
  </si>
  <si>
    <t>Service Analysis - Add columns for Q years v T years</t>
  </si>
  <si>
    <t>Service Analysis - Add reconciliation warning</t>
  </si>
  <si>
    <t>Linda</t>
  </si>
  <si>
    <t>Add ITR reduction from DB_Benefits C46 to Survivor Ben on Ben Letter</t>
  </si>
  <si>
    <t>Fix APS - Church lookup only pre-1992</t>
  </si>
  <si>
    <t>Hospital "Other"</t>
  </si>
  <si>
    <t>Cosmetics</t>
  </si>
  <si>
    <t>Boxes on Calculator</t>
  </si>
  <si>
    <t>Print on Service Credit Analysis</t>
  </si>
  <si>
    <t>"Tape" no "Attach" on Direct Deposit</t>
  </si>
  <si>
    <t>RA Authorization Retirement ID#</t>
  </si>
  <si>
    <t>Bold consistancy on Retro Calc</t>
  </si>
  <si>
    <t>Fix APS calculations</t>
  </si>
  <si>
    <t xml:space="preserve">Tidy up Survivor Benefit Calc </t>
  </si>
  <si>
    <t>Figures for Survivor Ben Letter for SS</t>
  </si>
  <si>
    <t>Correct explanation in letters for Survivor Benefit.</t>
  </si>
  <si>
    <t>Add "Death Benefit" to both letters &amp; add note in explanations.</t>
  </si>
  <si>
    <t>Final Termination Date</t>
  </si>
  <si>
    <t>Hours</t>
  </si>
  <si>
    <t>Hours &gt;</t>
  </si>
  <si>
    <t>Round on Hospital Late Interest Retro or Int tab E61</t>
  </si>
  <si>
    <t>Round on Hsp LS Confirm C43</t>
  </si>
  <si>
    <t>Change Divorce Tab, I26 from a formula to =I23.</t>
  </si>
  <si>
    <t>Earned Credit</t>
  </si>
  <si>
    <t>2009 Updates</t>
  </si>
  <si>
    <t>Fix 'eligible/ineligible/</t>
  </si>
  <si>
    <t>Fix Divorce formulae</t>
  </si>
  <si>
    <t>Change Hospital Lump Sum processing</t>
  </si>
  <si>
    <t>Change qx to q2000u as provided by HayGroup</t>
  </si>
  <si>
    <t>Correct C35 in DB Ben tab to denominator to 40.</t>
  </si>
  <si>
    <t>Prev Year APS</t>
  </si>
  <si>
    <t>Update APS Single and APS Married, R63</t>
  </si>
  <si>
    <t>Current Year APS in R63 updates Single &amp; Married APS to new year.</t>
  </si>
  <si>
    <t>Change to APS Calculator, easier update on update tables.</t>
  </si>
  <si>
    <t>JB</t>
  </si>
  <si>
    <t>Change SHARP Figures</t>
  </si>
  <si>
    <t>Fix TE for Survivor Benefits. No freeze option halved.</t>
  </si>
  <si>
    <t>change Pension Factor to same as 08</t>
  </si>
  <si>
    <t>Make sure Service Analysis has a line for current year.</t>
  </si>
  <si>
    <t>Added 2009 &amp; 2010 to Service Analysis Tab</t>
  </si>
  <si>
    <t>Reverse Hosp des from T to D.</t>
  </si>
  <si>
    <t>SS?</t>
  </si>
  <si>
    <t>Remove error message for SHARP w/o Base</t>
  </si>
  <si>
    <t>Do Not Use labels for Hospital Tabs Obsolete</t>
  </si>
  <si>
    <t>Over-ride field for divorce in case of lump sum payout</t>
  </si>
  <si>
    <t>Fix "Hospital Elsewhere" note in Benefits Letter</t>
  </si>
  <si>
    <t>Tidy up W-4p "Required" and warnings.</t>
  </si>
  <si>
    <t>Page Break in Application, page 5-6</t>
  </si>
  <si>
    <t>App Tab F9 &amp; F10 Comments</t>
  </si>
  <si>
    <t>App Tab G1:I8 Insert definitions</t>
  </si>
  <si>
    <t>DB Ben Tab F3 &amp; G3 Comments</t>
  </si>
  <si>
    <t>DB Ben Tab Widen Column G</t>
  </si>
  <si>
    <t>Current Year</t>
  </si>
  <si>
    <t>Current Version</t>
  </si>
  <si>
    <t>1.  AJ 1 above to new year.</t>
  </si>
  <si>
    <t>2.  AJ 2 above change version.</t>
  </si>
  <si>
    <t>Move Year &amp; Version change to Update Tables tab.</t>
  </si>
  <si>
    <t>Default G13 in "Do Not Use2" to "n"</t>
  </si>
  <si>
    <t>Add "if blank" comment to DB Tab E3.</t>
  </si>
  <si>
    <t>Change hospital question in App tab a46 &amp; DB tab A27 to pre-2000</t>
  </si>
  <si>
    <t>Comment on App Tab E15 amended to include DB Tab adjustments</t>
  </si>
  <si>
    <t>Adjust Letters, Survivor Benefits - use F41, F42 &amp; F44 from DB Ben</t>
  </si>
  <si>
    <t>Adjust Letters for Death Benefit, include Canada years</t>
  </si>
  <si>
    <t>Warning for failure to vest, both 15 yr and 10 yr requirement. Under top demo block on application.</t>
  </si>
  <si>
    <t>Warnings for Age Ineligibility on Application.</t>
  </si>
  <si>
    <t>DB Tab - C25 leave blank instead of Zero.</t>
  </si>
  <si>
    <t>New Versions go to:</t>
  </si>
  <si>
    <t>help@eadventist.org</t>
  </si>
  <si>
    <t>Lyn Wick</t>
  </si>
  <si>
    <t>Sharon Scheuneman</t>
  </si>
  <si>
    <t>Correct App tab HSP LS messages to appear with correct selection "T" or "D"</t>
  </si>
  <si>
    <t>SK</t>
  </si>
  <si>
    <t>Change sum formula on Service Analysis W3 to extend sum to N59</t>
  </si>
  <si>
    <t>Change hospital question in App tab A46 &amp; DB tab A27 back to pre-1992</t>
  </si>
  <si>
    <t>LT</t>
  </si>
  <si>
    <t>Added APS to Church Bens Breakdown on DB Bens tab</t>
  </si>
  <si>
    <t>Changed DB Bens C35 &amp; D35 to look @ I35 &amp; I36 &amp; reduce based on CDN/HSP/CH% of total SA</t>
  </si>
  <si>
    <t>Changed App A21 back to "Spouse Allowance" and added "for church" to eligibility pop-up</t>
  </si>
  <si>
    <t>Changed SA Disclosure wording to reduce @ spouse's NRA</t>
  </si>
  <si>
    <t>Moved failure to vest message to App G16 and changed to warning</t>
  </si>
  <si>
    <t>Changed benefit fields on Estimate statement to pull from Benefits Letter</t>
  </si>
  <si>
    <t>Changed W4-P to 2009</t>
  </si>
  <si>
    <t>Added HSP LS Req'd tab to use when statement mailed</t>
  </si>
  <si>
    <t>Changed formula in Est Stmt F37 to look at App tab H269 for warning message</t>
  </si>
  <si>
    <t>Changed formula in HSP LS Confirm tab E14 to look at DB_Bens tab E19 for warning</t>
  </si>
  <si>
    <t>Changed Est Stmt RA estimate wording to accurately reflect what is pulled from Bens ltr.</t>
  </si>
  <si>
    <t>Lightened some fill colors on serv. analysis tab so more readable when printed from Doc*</t>
  </si>
  <si>
    <t>added to Est Stmt notice re: CCO emp to use override on DB Benefits tab</t>
  </si>
  <si>
    <t>TM</t>
  </si>
  <si>
    <t>on App tab moved message re: CCO emp to D115 from B119</t>
  </si>
  <si>
    <t>on App tab added RA elig question to A119, removed from DB tab A64</t>
  </si>
  <si>
    <t>App tab A259, added OR stmt to also look @ H15 HSP ret date for message</t>
  </si>
  <si>
    <t>Updated instructions on Import tab for easier use with Excel 2007</t>
  </si>
  <si>
    <t>added "batch" &amp; "ret effective" date to HSP LS Confirm check request</t>
  </si>
  <si>
    <t>Added instruction in App tab A395 for computerized service record</t>
  </si>
  <si>
    <t>Benefits Letter tab C40,C41,C42,C48 chged to look @ App tab H270 instead of DoNotUse2 tab</t>
  </si>
  <si>
    <t>Chgd Hosp LS Confirm D67 to look @ App tab H270 for message instead of DoNotUse2</t>
  </si>
  <si>
    <t>2010 updates</t>
  </si>
  <si>
    <t>Annuity Calc G19-CH lump sum calculation</t>
  </si>
  <si>
    <t>Annuity Calc H22-24 - CH monthly bens and DB for calculation</t>
  </si>
  <si>
    <t>Bens Letter B&amp;C 56-do not show amounts if retiree is the survivor</t>
  </si>
  <si>
    <t>Est Stmt B&amp;C51 - Adjusted LS info for HSP &amp; added CH</t>
  </si>
  <si>
    <t>Est Stmt &amp; Bens Letter B40-49-Changed to not show monthly amts if LS required</t>
  </si>
  <si>
    <t>Rates tab-added columns for different LS amounts - CH &amp; MC reimbursement</t>
  </si>
  <si>
    <t>DB Benefits I42 added MC single for calculation of lump sum</t>
  </si>
  <si>
    <t>added CH LS Confirm tab</t>
  </si>
  <si>
    <t>added CH LS Req'd tab for letter</t>
  </si>
  <si>
    <t>Bens Letter B52,53 - added stmt "CH benefits process separately"</t>
  </si>
  <si>
    <t>DB Benefits F102-corrected formula to show EC for spouse</t>
  </si>
  <si>
    <t>Application tab E49&amp;50-changed comment to indicate CH or HSP employment</t>
  </si>
  <si>
    <t>Update tables F3-changed to 7.50% instead of Moody BAA rate</t>
  </si>
  <si>
    <t>Chgd Est Stmt Explanation/Terms to current LS/PO info</t>
  </si>
  <si>
    <t>Added DB Bens tab G31 over-ride for death benefit since can be different than HC-edited comments</t>
  </si>
  <si>
    <t>Added RA info if applicable to CH LS Confirm; also Church notation on Check request for P/R</t>
  </si>
  <si>
    <t>corrected Est Stmt B57 to show nothing if retiree is the survivor</t>
  </si>
  <si>
    <t>changed DB_Bens D25 to show Y if App Tab benefit type is survivor</t>
  </si>
  <si>
    <t>changed Est Stmt and Bens Ltr to show spouse's name as retiree if benefit type is survivor</t>
  </si>
  <si>
    <t xml:space="preserve">made changes on Pre-Ret Survivor letter so that it shows correct benefits </t>
  </si>
  <si>
    <t>Chgd App tab RA Election/SHARP form/W4P to show surv sps name &amp; SSN if "Survivor"</t>
  </si>
  <si>
    <t>JK</t>
  </si>
  <si>
    <t xml:space="preserve">Added Date of death field for retiree on App tab B14 </t>
  </si>
  <si>
    <t>Chgd App tab F291 to look at DB Bens U:37 to U:41 for SL APS</t>
  </si>
  <si>
    <t>Chgd question in App tab A41 to Social Security Election form</t>
  </si>
  <si>
    <t>Moved alternate SS Election form to print with SHARP enrollment form</t>
  </si>
  <si>
    <t>Moved Inservice Distribution form to App tab A137</t>
  </si>
  <si>
    <t>Chgd DB Bens C22 to look at G12 for Church SA eligibility</t>
  </si>
  <si>
    <t>Updated Service Analysis S5 to include up to X59</t>
  </si>
  <si>
    <t>Chgd DB Bens G12 to also limit CDN years to 10 during 2000-2014 (DB Bens E8 pulls from Serv. Analysis tab)</t>
  </si>
  <si>
    <t>Chgd App tab D10,11,12,13,14 to pull from DB Bens tab &amp; added comments; added note on Import</t>
  </si>
  <si>
    <t>Added .02 in YtoM table for calculation of ERR</t>
  </si>
  <si>
    <t>Added App tab D21 entry field and question of why not applying for SA if eligible</t>
  </si>
  <si>
    <t>Corrected Bens Letter D58 to check APS spouse eligibility on App tab F48 first</t>
  </si>
  <si>
    <t>Chgd DB Bens G8 to bring over from Service Analysis only pre-2000 YSC for SA pro-rate</t>
  </si>
  <si>
    <t>Chgd DB Bens C4,6,7,8,14, to pull directly from Service Analysis tab</t>
  </si>
  <si>
    <t>Added DB bens G33 to show years used for SHARP, chgd App E&amp;F 213 to use all CDN YSC for EC</t>
  </si>
  <si>
    <t>Changed App tab F15 to pull from Service Analysis instead of Import tab</t>
  </si>
  <si>
    <t>Changed DB Bens S49 &amp; U49 to include post-99 CDN YSC in SHARP eligibility</t>
  </si>
  <si>
    <t>Changed App tab F45 &amp; F46 to pull from Service Analysis tab - can be overridden</t>
  </si>
  <si>
    <t>Changed DB Bens C36 to look only at C9 instead of MIN(C4,C9)</t>
  </si>
  <si>
    <t>Corrected CH LS Confirm text box to wrap text</t>
  </si>
  <si>
    <t>Changed App tab F137 to show "Not Required" if CH LS is required (Inservice Distribution Disc.)</t>
  </si>
  <si>
    <t>Corrected App tab F294 to subtract ERR when totaling monthly bens</t>
  </si>
  <si>
    <t>Corrected Benefits Letter B &amp; D 36 to not show if no Church service</t>
  </si>
  <si>
    <t>Added reminders and rollover form website address to App tab G125, G270, G299</t>
  </si>
  <si>
    <t>Chgd formula in DB Bens C36 to use C21 instead of I16 so J&amp;S % can be overwritten in divorce cases</t>
  </si>
  <si>
    <t>Changed DB Bens G12 to limit DC &amp; CDN pre-2014 total to 10 between both categories for SA elig</t>
  </si>
  <si>
    <t>EXPORT to Benefits program</t>
  </si>
  <si>
    <t>A transaction</t>
  </si>
  <si>
    <t>effective_on</t>
  </si>
  <si>
    <t>discontinue_on</t>
  </si>
  <si>
    <t>ordained_on</t>
  </si>
  <si>
    <t>benefit_rate_factor</t>
  </si>
  <si>
    <t>pension_id</t>
  </si>
  <si>
    <t>conference_id</t>
  </si>
  <si>
    <t>foreign_organization_id</t>
  </si>
  <si>
    <t>retirement_allowance</t>
  </si>
  <si>
    <t>church_service_credit</t>
  </si>
  <si>
    <t>hospital_service_credit</t>
  </si>
  <si>
    <t>llf_service_credit</t>
  </si>
  <si>
    <t>canada_service_credit</t>
  </si>
  <si>
    <t>foreign_service_credit</t>
  </si>
  <si>
    <t>church_basic_benefit</t>
  </si>
  <si>
    <t>hospital_basic_benefit</t>
  </si>
  <si>
    <t>llf_basic_benefit</t>
  </si>
  <si>
    <t>church_spouse_allowance</t>
  </si>
  <si>
    <t>hospital_spouse_allowance</t>
  </si>
  <si>
    <t>llf_spouse_allowance</t>
  </si>
  <si>
    <t>church_aps</t>
  </si>
  <si>
    <t>hospital_aps</t>
  </si>
  <si>
    <t>llf_aps</t>
  </si>
  <si>
    <t>church_survivor_benefit</t>
  </si>
  <si>
    <t>hospital_survivor_benefit</t>
  </si>
  <si>
    <t>llf_survivor_benefit</t>
  </si>
  <si>
    <t>church_survivor_spouse_allowance</t>
  </si>
  <si>
    <t>hospital_survivor_spouse_allowance</t>
  </si>
  <si>
    <t>llf_survivor_spouse_allowance</t>
  </si>
  <si>
    <t>church_survivor_aps</t>
  </si>
  <si>
    <t>hospital_survivor_aps</t>
  </si>
  <si>
    <t>llf_survivor_aps</t>
  </si>
  <si>
    <t>te_percent</t>
  </si>
  <si>
    <t>er_reduction_percent</t>
  </si>
  <si>
    <t>js_reduction_percent</t>
  </si>
  <si>
    <t>sa_reduction_percent</t>
  </si>
  <si>
    <t>spouse_1_church_shared_service</t>
  </si>
  <si>
    <t>spouse_1_hospital_shared_service</t>
  </si>
  <si>
    <t>spouse_1_llf_shared_service</t>
  </si>
  <si>
    <t>notes</t>
  </si>
  <si>
    <t>CH_lump_amount</t>
  </si>
  <si>
    <t>CH_lump_on</t>
  </si>
  <si>
    <t>CH_lump_credit</t>
  </si>
  <si>
    <t>hospital_lump_amount</t>
  </si>
  <si>
    <t>hospital_lump_on</t>
  </si>
  <si>
    <t>hospital_lump_credit</t>
  </si>
  <si>
    <t>llf_lump_amount</t>
  </si>
  <si>
    <t>llf_lump_on</t>
  </si>
  <si>
    <t>llf_lump_credit</t>
  </si>
  <si>
    <t>CH_lump_monthlySLB_equiv</t>
  </si>
  <si>
    <t>HSP_lump_monthlySLB_equiv</t>
  </si>
  <si>
    <t>LLF_lump_monthlySLB_equiv</t>
  </si>
  <si>
    <t>CH_lump_monthlySA_equiv</t>
  </si>
  <si>
    <t>HSP_lump_monthlySA_equiv</t>
  </si>
  <si>
    <t>LLF_lump_monthlySA_equiv</t>
  </si>
  <si>
    <t>CH_lump_monthlyAPS_equiv</t>
  </si>
  <si>
    <t>HSP_lump_montlyAPS_equiv</t>
  </si>
  <si>
    <t>LLF_lump_monthlyAPS_equiv</t>
  </si>
  <si>
    <t>CH_lump_death_ben</t>
  </si>
  <si>
    <t>LLF_lump_death_ben</t>
  </si>
  <si>
    <t>CH_lump_MC</t>
  </si>
  <si>
    <t>Changed Service Analysis tab to allow years to 2013, plus formatting adjustment</t>
  </si>
  <si>
    <t>Update pension factors</t>
  </si>
  <si>
    <t>Added P/R codes to Retro tab</t>
  </si>
  <si>
    <t>Added App tab A17 question regarding divorce</t>
  </si>
  <si>
    <t>Added DB_Benefits tab table to replace YSC remarks</t>
  </si>
  <si>
    <t>Changed Bens Letter D35, CH LS Confirm G34, HSP LS Confirm G36,  Pre-Ret Surv D6 to only use 2 names for xc</t>
  </si>
  <si>
    <t>Added CCO override to Application tab</t>
  </si>
  <si>
    <t>Added Death Benefit &amp; MC Part B reimbursement to table on CH LS Confirm tab</t>
  </si>
  <si>
    <t>Added notice to send MC card if eligible but not entered on Benefits letter</t>
  </si>
  <si>
    <t>Included E8 in DB Bens G10 for calc of ERR</t>
  </si>
  <si>
    <t>On Application tab, changed SHARP form wording to match form in SHARP document</t>
  </si>
  <si>
    <t>Added CH lump sum info to Estimate statement</t>
  </si>
  <si>
    <t>Changed Service Analysis W38-W40 to not count HSP in SC</t>
  </si>
  <si>
    <t>Fixed CH LS Confirm check request and letter to calculate correctly</t>
  </si>
  <si>
    <t>EXPORT to Benefits Program</t>
  </si>
  <si>
    <t>ssn</t>
  </si>
  <si>
    <t>sin</t>
  </si>
  <si>
    <t>last_name</t>
  </si>
  <si>
    <t>first_name</t>
  </si>
  <si>
    <t>middle_name</t>
  </si>
  <si>
    <t>previous_name</t>
  </si>
  <si>
    <t>suffix</t>
  </si>
  <si>
    <t>born_on</t>
  </si>
  <si>
    <t>gender</t>
  </si>
  <si>
    <t>last_employer_name</t>
  </si>
  <si>
    <t>last_employer_code</t>
  </si>
  <si>
    <t>last_employer_email</t>
  </si>
  <si>
    <t>marital_status_id</t>
  </si>
  <si>
    <t>married_on</t>
  </si>
  <si>
    <t>deceased_on</t>
  </si>
  <si>
    <t>hired_on</t>
  </si>
  <si>
    <t>terminated_on</t>
  </si>
  <si>
    <t>optional_line</t>
  </si>
  <si>
    <t>address</t>
  </si>
  <si>
    <t>city</t>
  </si>
  <si>
    <t>state</t>
  </si>
  <si>
    <t>postal_code</t>
  </si>
  <si>
    <t>country</t>
  </si>
  <si>
    <t>home_phone</t>
  </si>
  <si>
    <t>mobile_phone</t>
  </si>
  <si>
    <t>email</t>
  </si>
  <si>
    <t>parsonage</t>
  </si>
  <si>
    <t>ra_taxable</t>
  </si>
  <si>
    <t>ra_non_taxable</t>
  </si>
  <si>
    <t>employer_id_1</t>
  </si>
  <si>
    <t>billed_1</t>
  </si>
  <si>
    <t>employer_id_2</t>
  </si>
  <si>
    <t>billed_2</t>
  </si>
  <si>
    <t>employer_id_3</t>
  </si>
  <si>
    <t>billed_3</t>
  </si>
  <si>
    <t>church_sb_spouse_allowance</t>
  </si>
  <si>
    <t>hospital_sb_spouse_allowance</t>
  </si>
  <si>
    <t>llf_sb_spouse_allowance</t>
  </si>
  <si>
    <t>church_sb_aps</t>
  </si>
  <si>
    <t>hospital_sb_aps</t>
  </si>
  <si>
    <t>llf_sb_aps</t>
  </si>
  <si>
    <t>basic_church_service_credit</t>
  </si>
  <si>
    <t>basic_hospital_service_credit</t>
  </si>
  <si>
    <t>basic_canada_service_credit</t>
  </si>
  <si>
    <t>basic_itr_service_credit</t>
  </si>
  <si>
    <t>basic_llf_service_credit</t>
  </si>
  <si>
    <t>basic_dc_service_credit</t>
  </si>
  <si>
    <t>health_church_service_credit</t>
  </si>
  <si>
    <t>health_hospital_service_credit</t>
  </si>
  <si>
    <t>health_canada_service_credit</t>
  </si>
  <si>
    <t>health_itr_service_credit</t>
  </si>
  <si>
    <t>health_llf_service_credit</t>
  </si>
  <si>
    <t>health_dc_service_credit</t>
  </si>
  <si>
    <t>death_church_service_credit</t>
  </si>
  <si>
    <t>death_hospital_service_credit</t>
  </si>
  <si>
    <t>death_canada_service_credit</t>
  </si>
  <si>
    <t>death_itr_service_credit</t>
  </si>
  <si>
    <t>death_llf_service_credit</t>
  </si>
  <si>
    <t>death_dc_service_credit</t>
  </si>
  <si>
    <t>aps_church_service_credit</t>
  </si>
  <si>
    <t>aps_hospital_service_credit</t>
  </si>
  <si>
    <t>aps_canada_service_credit</t>
  </si>
  <si>
    <t>aps_itr_service_credit</t>
  </si>
  <si>
    <t>aps_llf_service_credit</t>
  </si>
  <si>
    <t>aps_dc_service_credit</t>
  </si>
  <si>
    <t>spouse_church_service_credit</t>
  </si>
  <si>
    <t>spouse_hospital_service_credit</t>
  </si>
  <si>
    <t>spouse_canada_service_credit</t>
  </si>
  <si>
    <t>spouse_itr_service_credit</t>
  </si>
  <si>
    <t>spouse_llf_service_credit</t>
  </si>
  <si>
    <t>spouse_dc_service_credit</t>
  </si>
  <si>
    <t>retire_church_service_credit</t>
  </si>
  <si>
    <t>retire_hospital_service_credit</t>
  </si>
  <si>
    <t>retire_canada_service_credit</t>
  </si>
  <si>
    <t>retire_itr_service_credit</t>
  </si>
  <si>
    <t>retire_llf_service_credit</t>
  </si>
  <si>
    <t>retire_dc_service_credit</t>
  </si>
  <si>
    <t>military_church_service_credit</t>
  </si>
  <si>
    <t>military_hospital_service_credit</t>
  </si>
  <si>
    <t>military_canada_service_credit</t>
  </si>
  <si>
    <t>military_itr_service_credit</t>
  </si>
  <si>
    <t>military_llf_service_credit</t>
  </si>
  <si>
    <t>military_dc_service_credit</t>
  </si>
  <si>
    <t>graduate_church_service_credit</t>
  </si>
  <si>
    <t>graduate_hospital_service_credit</t>
  </si>
  <si>
    <t>graduate_canada_service_credit</t>
  </si>
  <si>
    <t>graduate_itr_service_credit</t>
  </si>
  <si>
    <t>graduate_llf_service_credit</t>
  </si>
  <si>
    <t>graduate_dc_service_credit</t>
  </si>
  <si>
    <t>spouse_health_care_church_service_credit</t>
  </si>
  <si>
    <t>spouse_health_care_hospital_service_credit</t>
  </si>
  <si>
    <t>spouse_health_care_canada_service_credit</t>
  </si>
  <si>
    <t>spouse_health_care_itr_service_credit</t>
  </si>
  <si>
    <t>spouse_health_care_llf_service_credit</t>
  </si>
  <si>
    <t>spouse_health_care_dc_service_credit</t>
  </si>
  <si>
    <t>spouse_death_benefit_church_service_credit</t>
  </si>
  <si>
    <t>spouse_death_benefit_hospital_service_credit</t>
  </si>
  <si>
    <t>spouse_death_benefit_canada_service_credit</t>
  </si>
  <si>
    <t>spouse_death_benefit_itr_service_credit</t>
  </si>
  <si>
    <t>spouse_death_benefit_llf_service_credit</t>
  </si>
  <si>
    <t>spouse_death_benefit_dc_service_credit</t>
  </si>
  <si>
    <t>I transaction</t>
  </si>
  <si>
    <t>Suffix</t>
  </si>
  <si>
    <t>Previous Name</t>
  </si>
  <si>
    <t>Country</t>
  </si>
  <si>
    <t>Social Insurance #</t>
  </si>
  <si>
    <t>Date of Death</t>
  </si>
  <si>
    <t>Date of Divorce</t>
  </si>
  <si>
    <t>Spouse First Name</t>
  </si>
  <si>
    <t>Spouse Last Name</t>
  </si>
  <si>
    <t>Spouse Suffix</t>
  </si>
  <si>
    <t>Spouse Previous Name</t>
  </si>
  <si>
    <t>Spouse SIN#</t>
  </si>
  <si>
    <t>Spouse Date of Death</t>
  </si>
  <si>
    <t>Last Employer Name</t>
  </si>
  <si>
    <t>Last Employer ID#</t>
  </si>
  <si>
    <t>Added fields to Import tab to accommodate additional fields from eadventist personnel</t>
  </si>
  <si>
    <t>This spreadsheet contains personal &amp; sensitive information. Do not email this calculator to anyone.</t>
  </si>
  <si>
    <t xml:space="preserve">Note: Enter manually if eAdventist Personnel is not available, or is using Excel 2002 or earlier.  </t>
  </si>
  <si>
    <t>Addded Export Demographics tab and Export Benefits tab for Benefits program</t>
  </si>
  <si>
    <t>Added LLF fields on DB_Benefits tab for export</t>
  </si>
  <si>
    <t>church_lump_amount</t>
  </si>
  <si>
    <t>church_lump _credit</t>
  </si>
  <si>
    <t>church_lump_taxable</t>
  </si>
  <si>
    <t>hospital_lump_taxable</t>
  </si>
  <si>
    <t>CH_medicare</t>
  </si>
  <si>
    <t>LLF_medicare</t>
  </si>
  <si>
    <t>CH_death_benefit</t>
  </si>
  <si>
    <t>LLF_death_benefit</t>
  </si>
  <si>
    <t>te_amount</t>
  </si>
  <si>
    <t>er_amount</t>
  </si>
  <si>
    <t>llf_lump_taxable</t>
  </si>
  <si>
    <t>LS equivalent monthly</t>
  </si>
  <si>
    <t>import_spouse_ssn</t>
  </si>
  <si>
    <t>import_spouse_sin</t>
  </si>
  <si>
    <t>import_spouse_last_name</t>
  </si>
  <si>
    <t>import_spouse_first_name</t>
  </si>
  <si>
    <t>import_spouse_middle_name</t>
  </si>
  <si>
    <t>import_spouse_previous_name</t>
  </si>
  <si>
    <t>import_spouse_suffix</t>
  </si>
  <si>
    <t>import_spouse_born_on</t>
  </si>
  <si>
    <t>import_spouse_married_on</t>
  </si>
  <si>
    <t>import_spouse_divorced_on</t>
  </si>
  <si>
    <t>import_spouse_deceased_on</t>
  </si>
  <si>
    <t>import_spouse_shared_service_church</t>
  </si>
  <si>
    <t>import_spouse_shared_service_hospital</t>
  </si>
  <si>
    <t>import_spouse_shared_service_llf</t>
  </si>
  <si>
    <t>pension_code_id</t>
  </si>
  <si>
    <t>Changed RA fields to calculate amounts based on %s entered - for Benefits Program import</t>
  </si>
  <si>
    <t>Changed RA comments to reflect updated policy reference</t>
  </si>
  <si>
    <t>01</t>
  </si>
  <si>
    <t>02</t>
  </si>
  <si>
    <t>03</t>
  </si>
  <si>
    <t>04</t>
  </si>
  <si>
    <t>06</t>
  </si>
  <si>
    <t>08</t>
  </si>
  <si>
    <t>14</t>
  </si>
  <si>
    <t>15</t>
  </si>
  <si>
    <t>20</t>
  </si>
  <si>
    <t>21</t>
  </si>
  <si>
    <t>26</t>
  </si>
  <si>
    <t>28</t>
  </si>
  <si>
    <t>47</t>
  </si>
  <si>
    <t>48</t>
  </si>
  <si>
    <t>53</t>
  </si>
  <si>
    <t>55</t>
  </si>
  <si>
    <t>56</t>
  </si>
  <si>
    <t>60</t>
  </si>
  <si>
    <t>61</t>
  </si>
  <si>
    <t>62</t>
  </si>
  <si>
    <t>64</t>
  </si>
  <si>
    <t>67</t>
  </si>
  <si>
    <t>70</t>
  </si>
  <si>
    <t>72</t>
  </si>
  <si>
    <t>73</t>
  </si>
  <si>
    <t>84</t>
  </si>
  <si>
    <t>Church monthly benefits?</t>
  </si>
  <si>
    <t>Hospital monthly benefits?</t>
  </si>
  <si>
    <t>Church lump sum?</t>
  </si>
  <si>
    <t>Hospital lump sum?</t>
  </si>
  <si>
    <t>Changed DB_Bens F65-66 to automatically bring over entry on App tab</t>
  </si>
  <si>
    <t>hospital_lump_interest</t>
  </si>
  <si>
    <t>2012 yearly rate updates</t>
  </si>
  <si>
    <t xml:space="preserve">On DB_Bens spouse allowance calculation revised to change order of reductions </t>
  </si>
  <si>
    <t>Divorce tab revisions</t>
  </si>
  <si>
    <t>Divorce tab E21 to calculate current spouse age % if leftover SA</t>
  </si>
  <si>
    <t>Address 1 (Street)</t>
  </si>
  <si>
    <t>Address 2 (Optional)</t>
  </si>
  <si>
    <t>Divorce tab APS corrections</t>
  </si>
  <si>
    <t>App form HSP survivor benefits statement to look at Annuity Calc lump sum before survivor calc</t>
  </si>
  <si>
    <t>corrected export demographics for survivor sps</t>
  </si>
  <si>
    <t>83IAM-M-SB4</t>
  </si>
  <si>
    <t>LE Hours &gt;</t>
  </si>
  <si>
    <t>Months &gt; Years Conversion</t>
  </si>
  <si>
    <t>YRF &gt; BRF Conversion Table</t>
  </si>
  <si>
    <t>Interest rate-lump sum calc.</t>
  </si>
  <si>
    <t>Category</t>
  </si>
  <si>
    <t>Middle Initial</t>
  </si>
  <si>
    <t>Spouse Middle Initial</t>
  </si>
  <si>
    <t xml:space="preserve">New year pension factor/ </t>
  </si>
  <si>
    <t>Hospital policy changes to allow choice of lump sum for everyone</t>
  </si>
  <si>
    <t>New year pension factors</t>
  </si>
  <si>
    <t xml:space="preserve">Added language for Hospital election form for lump sum </t>
  </si>
  <si>
    <t>Added explanation of hospital benefit page</t>
  </si>
  <si>
    <t>Revised SHARP enrollment form for spouse earned credit/dependent care costs</t>
  </si>
  <si>
    <t>Added RA field for entry of post-99 "other plans" for emp provided calculation</t>
  </si>
  <si>
    <t>Email Address (personal)</t>
  </si>
  <si>
    <t>5-7 Years</t>
  </si>
  <si>
    <t>8-14 Years</t>
  </si>
  <si>
    <t>.</t>
  </si>
  <si>
    <t>Revised SA questions on App tab</t>
  </si>
  <si>
    <t>New year pension factors/SHARP rates/years on service analysis</t>
  </si>
  <si>
    <t>Added SHARP only tab for those with no DB YSC</t>
  </si>
  <si>
    <t>State (two letter abbreviation)</t>
  </si>
  <si>
    <t>Version 18.02</t>
  </si>
  <si>
    <t>Service Credit Analysis for:</t>
  </si>
  <si>
    <t>Mission</t>
  </si>
  <si>
    <t>Medical</t>
  </si>
  <si>
    <t>Educational</t>
  </si>
  <si>
    <t>AWR</t>
  </si>
  <si>
    <t>Aggreg SC</t>
  </si>
  <si>
    <t>EOYear</t>
  </si>
  <si>
    <t>SC%</t>
  </si>
  <si>
    <t>Rem %</t>
  </si>
  <si>
    <t>Distribution</t>
  </si>
  <si>
    <t>Education</t>
  </si>
  <si>
    <t>GMM Retirement Confirmation</t>
  </si>
  <si>
    <t>Surname</t>
  </si>
  <si>
    <t>Given Name</t>
  </si>
  <si>
    <t>Date of Retirement</t>
  </si>
  <si>
    <t xml:space="preserve">Address </t>
  </si>
  <si>
    <t>Pre-2001 YSC</t>
  </si>
  <si>
    <t>State</t>
  </si>
  <si>
    <t>Avg Rem%</t>
  </si>
  <si>
    <t>Service Rate</t>
  </si>
  <si>
    <t>eMail</t>
  </si>
  <si>
    <t>Basic Family Rate</t>
  </si>
  <si>
    <t>Net Basic Rate</t>
  </si>
  <si>
    <t>Service Location</t>
  </si>
  <si>
    <t>Guam</t>
  </si>
  <si>
    <t>Rem Factor</t>
  </si>
  <si>
    <t>Last Cred's</t>
  </si>
  <si>
    <t>Beginning Pension</t>
  </si>
  <si>
    <t>GMM Severance Allowance</t>
  </si>
  <si>
    <t>Is this retiree eligible? (Y or N)</t>
  </si>
  <si>
    <t>Last Employment Rem. %?</t>
  </si>
  <si>
    <t>Effective Rem. %</t>
  </si>
  <si>
    <t>Weeks Salary</t>
  </si>
  <si>
    <t>To be paid by:</t>
  </si>
  <si>
    <t>Middle</t>
  </si>
  <si>
    <t>YearsRate</t>
  </si>
  <si>
    <t>Phil peso</t>
  </si>
  <si>
    <t>Table</t>
  </si>
  <si>
    <t>Rate</t>
  </si>
  <si>
    <t>GuamRF</t>
  </si>
  <si>
    <t>IslandRF</t>
  </si>
  <si>
    <t>Islands</t>
  </si>
  <si>
    <t>PI</t>
  </si>
  <si>
    <t>Location</t>
  </si>
  <si>
    <t>Healthcare Table</t>
  </si>
  <si>
    <t>YSC</t>
  </si>
  <si>
    <t>Healthcare Asst. Rate</t>
  </si>
  <si>
    <t>Out Patient</t>
  </si>
  <si>
    <t>In Patient</t>
  </si>
  <si>
    <t>Eligible for Ret Severance?</t>
  </si>
  <si>
    <t>Response</t>
  </si>
  <si>
    <t>Yes</t>
  </si>
  <si>
    <t>No</t>
  </si>
  <si>
    <t>Ret. Severance Payor</t>
  </si>
  <si>
    <t>Last Employment Rem %?</t>
  </si>
  <si>
    <t>Authorizing Organization</t>
  </si>
  <si>
    <t>Officer Signature</t>
  </si>
  <si>
    <t>Signing Officer Name</t>
  </si>
  <si>
    <t>Officer Name</t>
  </si>
  <si>
    <t>and Date</t>
  </si>
  <si>
    <t>Instructions</t>
  </si>
  <si>
    <t>Download or enter C Column information from eAdventist Personnel.</t>
  </si>
  <si>
    <t>Answer questions in Yellow boxes.</t>
  </si>
  <si>
    <t xml:space="preserve">Enter Service in Service and Remuneration % Analysis Tab. </t>
  </si>
  <si>
    <t>For post-freeze service, only enter the Remuneration %.</t>
  </si>
  <si>
    <t>Review GMM Confirmation Tab.</t>
  </si>
  <si>
    <t>Officer Signature and date</t>
  </si>
  <si>
    <t>Upload to NAD Retirement. Send Original Service Record by mail.</t>
  </si>
  <si>
    <t>Keep copies of all documents in Retiree file.</t>
  </si>
  <si>
    <t>Applicant:</t>
  </si>
  <si>
    <t>Signature &amp; Date</t>
  </si>
  <si>
    <t>Defined Benefit Years</t>
  </si>
  <si>
    <t>Yrs w Rem%</t>
  </si>
  <si>
    <t>Sincerely,</t>
  </si>
  <si>
    <t>(Mrs.) Lyn R. Wick</t>
  </si>
  <si>
    <t>Associate Administrator</t>
  </si>
  <si>
    <t>Years of Qualifying pre-2001 Service Credit</t>
  </si>
  <si>
    <t>Monthly Benefit Rate</t>
  </si>
  <si>
    <t>Healthcare Assistance Rate</t>
  </si>
  <si>
    <t>Inpatient</t>
  </si>
  <si>
    <t>Outpatient</t>
  </si>
  <si>
    <t>Remuneration Factor</t>
  </si>
  <si>
    <t>v2016.1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</si>
</sst>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
    <numFmt numFmtId="167" formatCode="0.000000"/>
    <numFmt numFmtId="168" formatCode="[$-409]dddd\,\ mmmm\ dd\,\ yyyy"/>
    <numFmt numFmtId="169" formatCode="000\-00\-0000"/>
    <numFmt numFmtId="170" formatCode="&quot;$&quot;#,##0"/>
    <numFmt numFmtId="171" formatCode="&quot;$&quot;#,##0.00"/>
    <numFmt numFmtId="172" formatCode="0.000"/>
    <numFmt numFmtId="173" formatCode="&quot;$&quot;#,##0.000_);\(&quot;$&quot;#,##0.000\)"/>
    <numFmt numFmtId="174" formatCode="&quot;$&quot;#,##0.0_);\(&quot;$&quot;#,##0.0\)"/>
    <numFmt numFmtId="175" formatCode="0.0"/>
    <numFmt numFmtId="176" formatCode="[$-409]mmmm\ d\,\ yyyy;@"/>
    <numFmt numFmtId="177" formatCode="[&lt;=9999999]###\-####;\(###\)\ ###\-####"/>
    <numFmt numFmtId="178" formatCode="&quot;Yes&quot;;&quot;Yes&quot;;&quot;No&quot;"/>
    <numFmt numFmtId="179" formatCode="&quot;True&quot;;&quot;True&quot;;&quot;False&quot;"/>
    <numFmt numFmtId="180" formatCode="&quot;On&quot;;&quot;On&quot;;&quot;Off&quot;"/>
    <numFmt numFmtId="181" formatCode="[$€-2]\ #,##0.00_);[Red]\([$€-2]\ #,##0.00\)"/>
    <numFmt numFmtId="182" formatCode="m/d/yy;@"/>
    <numFmt numFmtId="183" formatCode="mmm\-yyyy"/>
    <numFmt numFmtId="184" formatCode="0.0%"/>
    <numFmt numFmtId="185" formatCode="[$-F800]dddd\,\ mmmm\ dd\,\ yyyy"/>
    <numFmt numFmtId="186" formatCode="&quot;$&quot;#,##0.000"/>
    <numFmt numFmtId="187" formatCode="[$-409]h:mm:ss\ AM/PM"/>
    <numFmt numFmtId="188" formatCode="00000"/>
    <numFmt numFmtId="189" formatCode="0.000%"/>
    <numFmt numFmtId="190" formatCode="#,##0.000"/>
    <numFmt numFmtId="191" formatCode="00000\-0000"/>
    <numFmt numFmtId="192" formatCode="00.00%"/>
    <numFmt numFmtId="193" formatCode="&quot;Hello &quot;\&amp;#.##%"/>
    <numFmt numFmtId="194" formatCode="&quot;Hello &quot;#.##%"/>
    <numFmt numFmtId="195" formatCode="&quot;Hello &quot;#.##%&quot;Hello &quot;#.##%"/>
    <numFmt numFmtId="196" formatCode="mm/dd/yy;@"/>
  </numFmts>
  <fonts count="87">
    <font>
      <sz val="10"/>
      <name val="Arial"/>
      <family val="0"/>
    </font>
    <font>
      <b/>
      <sz val="18"/>
      <name val="Arial"/>
      <family val="0"/>
    </font>
    <font>
      <b/>
      <sz val="12"/>
      <name val="Arial"/>
      <family val="0"/>
    </font>
    <font>
      <b/>
      <sz val="10"/>
      <name val="Arial"/>
      <family val="0"/>
    </font>
    <font>
      <sz val="8"/>
      <name val="Arial"/>
      <family val="2"/>
    </font>
    <font>
      <sz val="12"/>
      <name val="Arial"/>
      <family val="2"/>
    </font>
    <font>
      <b/>
      <u val="single"/>
      <sz val="10"/>
      <name val="Arial"/>
      <family val="2"/>
    </font>
    <font>
      <sz val="14"/>
      <name val="Arial"/>
      <family val="2"/>
    </font>
    <font>
      <sz val="10"/>
      <color indexed="10"/>
      <name val="Arial"/>
      <family val="2"/>
    </font>
    <font>
      <b/>
      <i/>
      <sz val="10"/>
      <name val="Arial"/>
      <family val="2"/>
    </font>
    <font>
      <u val="single"/>
      <sz val="10"/>
      <color indexed="12"/>
      <name val="Arial"/>
      <family val="2"/>
    </font>
    <font>
      <u val="single"/>
      <sz val="10"/>
      <color indexed="36"/>
      <name val="Arial"/>
      <family val="2"/>
    </font>
    <font>
      <i/>
      <sz val="10"/>
      <name val="Arial"/>
      <family val="2"/>
    </font>
    <font>
      <b/>
      <sz val="14"/>
      <name val="Arial"/>
      <family val="2"/>
    </font>
    <font>
      <sz val="12"/>
      <name val="Times New Roman"/>
      <family val="1"/>
    </font>
    <font>
      <sz val="9"/>
      <name val="Arial"/>
      <family val="2"/>
    </font>
    <font>
      <b/>
      <sz val="11"/>
      <name val="Arial"/>
      <family val="2"/>
    </font>
    <font>
      <b/>
      <i/>
      <sz val="8"/>
      <name val="Arial"/>
      <family val="2"/>
    </font>
    <font>
      <u val="single"/>
      <sz val="12"/>
      <name val="Arial"/>
      <family val="2"/>
    </font>
    <font>
      <sz val="10"/>
      <name val="Tahoma"/>
      <family val="2"/>
    </font>
    <font>
      <b/>
      <sz val="10"/>
      <name val="Tahoma"/>
      <family val="2"/>
    </font>
    <font>
      <b/>
      <i/>
      <sz val="12"/>
      <name val="Arial"/>
      <family val="2"/>
    </font>
    <font>
      <sz val="20"/>
      <name val="Arial"/>
      <family val="2"/>
    </font>
    <font>
      <i/>
      <sz val="8"/>
      <name val="Arial"/>
      <family val="2"/>
    </font>
    <font>
      <sz val="12"/>
      <color indexed="10"/>
      <name val="Arial"/>
      <family val="2"/>
    </font>
    <font>
      <i/>
      <sz val="12"/>
      <name val="Arial"/>
      <family val="2"/>
    </font>
    <font>
      <b/>
      <sz val="10"/>
      <color indexed="10"/>
      <name val="Wingdings"/>
      <family val="0"/>
    </font>
    <font>
      <b/>
      <sz val="20"/>
      <name val="Allegro BT"/>
      <family val="5"/>
    </font>
    <font>
      <b/>
      <sz val="12"/>
      <color indexed="10"/>
      <name val="Tahoma"/>
      <family val="2"/>
    </font>
    <font>
      <b/>
      <sz val="11"/>
      <color indexed="62"/>
      <name val="Tahoma"/>
      <family val="2"/>
    </font>
    <font>
      <sz val="12"/>
      <color indexed="10"/>
      <name val="Tahoma"/>
      <family val="2"/>
    </font>
    <font>
      <sz val="12"/>
      <color indexed="19"/>
      <name val="Tahoma"/>
      <family val="2"/>
    </font>
    <font>
      <b/>
      <sz val="10"/>
      <color indexed="10"/>
      <name val="Arial"/>
      <family val="2"/>
    </font>
    <font>
      <b/>
      <i/>
      <sz val="10"/>
      <color indexed="10"/>
      <name val="Arial"/>
      <family val="2"/>
    </font>
    <font>
      <b/>
      <sz val="18"/>
      <color indexed="62"/>
      <name val="Cambria"/>
      <family val="2"/>
    </font>
    <font>
      <sz val="16"/>
      <color indexed="10"/>
      <name val="Arial"/>
      <family val="2"/>
    </font>
    <font>
      <b/>
      <sz val="10"/>
      <color indexed="30"/>
      <name val="Arial"/>
      <family val="2"/>
    </font>
    <font>
      <i/>
      <sz val="10"/>
      <color indexed="8"/>
      <name val="Cooper Black"/>
      <family val="1"/>
    </font>
    <font>
      <b/>
      <sz val="24"/>
      <name val="Kunstler Script"/>
      <family val="4"/>
    </font>
    <font>
      <sz val="24"/>
      <name val="Kunstler Script"/>
      <family val="4"/>
    </font>
    <font>
      <b/>
      <sz val="16"/>
      <color indexed="10"/>
      <name val="Arial"/>
      <family val="2"/>
    </font>
    <font>
      <sz val="8"/>
      <name val="Tahoma"/>
      <family val="2"/>
    </font>
    <font>
      <b/>
      <sz val="8"/>
      <name val="Tahoma"/>
      <family val="2"/>
    </font>
    <font>
      <sz val="9"/>
      <name val="Tahoma"/>
      <family val="2"/>
    </font>
    <font>
      <b/>
      <sz val="9"/>
      <name val="Tahoma"/>
      <family val="2"/>
    </font>
    <font>
      <sz val="36"/>
      <name val="Arial"/>
      <family val="2"/>
    </font>
    <font>
      <sz val="12"/>
      <color indexed="8"/>
      <name val="Tahoma"/>
      <family val="2"/>
    </font>
    <font>
      <sz val="12"/>
      <color indexed="9"/>
      <name val="Tahoma"/>
      <family val="2"/>
    </font>
    <font>
      <sz val="12"/>
      <color indexed="20"/>
      <name val="Tahoma"/>
      <family val="2"/>
    </font>
    <font>
      <b/>
      <sz val="12"/>
      <color indexed="9"/>
      <name val="Tahoma"/>
      <family val="2"/>
    </font>
    <font>
      <i/>
      <sz val="12"/>
      <color indexed="23"/>
      <name val="Tahoma"/>
      <family val="2"/>
    </font>
    <font>
      <sz val="12"/>
      <color indexed="17"/>
      <name val="Tahoma"/>
      <family val="2"/>
    </font>
    <font>
      <sz val="12"/>
      <color indexed="62"/>
      <name val="Tahoma"/>
      <family val="2"/>
    </font>
    <font>
      <sz val="11"/>
      <color indexed="8"/>
      <name val="Calibri"/>
      <family val="2"/>
    </font>
    <font>
      <b/>
      <sz val="12"/>
      <color indexed="63"/>
      <name val="Tahoma"/>
      <family val="2"/>
    </font>
    <font>
      <b/>
      <sz val="12"/>
      <color indexed="14"/>
      <name val="Arial"/>
      <family val="2"/>
    </font>
    <font>
      <b/>
      <sz val="12"/>
      <color indexed="10"/>
      <name val="Arial"/>
      <family val="2"/>
    </font>
    <font>
      <b/>
      <sz val="12"/>
      <color indexed="49"/>
      <name val="Arial"/>
      <family val="2"/>
    </font>
    <font>
      <sz val="11"/>
      <name val="Calibri"/>
      <family val="2"/>
    </font>
    <font>
      <sz val="10"/>
      <color indexed="8"/>
      <name val="Arial"/>
      <family val="2"/>
    </font>
    <font>
      <b/>
      <sz val="11"/>
      <color indexed="8"/>
      <name val="Calibri"/>
      <family val="2"/>
    </font>
    <font>
      <b/>
      <sz val="24"/>
      <color indexed="8"/>
      <name val="Calibri"/>
      <family val="2"/>
    </font>
    <font>
      <b/>
      <sz val="22"/>
      <color indexed="8"/>
      <name val="Calibri"/>
      <family val="2"/>
    </font>
    <font>
      <sz val="8"/>
      <color indexed="8"/>
      <name val="Arial"/>
      <family val="2"/>
    </font>
    <font>
      <sz val="9.5"/>
      <color indexed="8"/>
      <name val="Arial"/>
      <family val="2"/>
    </font>
    <font>
      <sz val="9"/>
      <color indexed="8"/>
      <name val="Arial"/>
      <family val="2"/>
    </font>
    <font>
      <sz val="12"/>
      <color theme="1"/>
      <name val="Tahoma"/>
      <family val="2"/>
    </font>
    <font>
      <sz val="12"/>
      <color theme="0"/>
      <name val="Tahoma"/>
      <family val="2"/>
    </font>
    <font>
      <sz val="12"/>
      <color rgb="FF9C0006"/>
      <name val="Tahoma"/>
      <family val="2"/>
    </font>
    <font>
      <b/>
      <sz val="12"/>
      <color theme="0"/>
      <name val="Tahoma"/>
      <family val="2"/>
    </font>
    <font>
      <i/>
      <sz val="12"/>
      <color rgb="FF7F7F7F"/>
      <name val="Tahoma"/>
      <family val="2"/>
    </font>
    <font>
      <sz val="12"/>
      <color rgb="FF006100"/>
      <name val="Tahoma"/>
      <family val="2"/>
    </font>
    <font>
      <sz val="12"/>
      <color rgb="FF3F3F76"/>
      <name val="Tahoma"/>
      <family val="2"/>
    </font>
    <font>
      <sz val="11"/>
      <color theme="1"/>
      <name val="Calibri"/>
      <family val="2"/>
    </font>
    <font>
      <b/>
      <sz val="12"/>
      <color rgb="FF3F3F3F"/>
      <name val="Tahoma"/>
      <family val="2"/>
    </font>
    <font>
      <sz val="12"/>
      <color rgb="FFFF0000"/>
      <name val="Tahoma"/>
      <family val="2"/>
    </font>
    <font>
      <b/>
      <sz val="12"/>
      <color rgb="FFCC0099"/>
      <name val="Arial"/>
      <family val="2"/>
    </font>
    <font>
      <b/>
      <i/>
      <sz val="10"/>
      <color rgb="FFFF0000"/>
      <name val="Arial"/>
      <family val="2"/>
    </font>
    <font>
      <b/>
      <sz val="12"/>
      <color theme="9" tint="-0.24997000396251678"/>
      <name val="Arial"/>
      <family val="2"/>
    </font>
    <font>
      <b/>
      <sz val="12"/>
      <color theme="8" tint="-0.24997000396251678"/>
      <name val="Arial"/>
      <family val="2"/>
    </font>
    <font>
      <sz val="10"/>
      <color theme="1"/>
      <name val="Arial"/>
      <family val="2"/>
    </font>
    <font>
      <sz val="10"/>
      <color rgb="FFFF0000"/>
      <name val="Arial"/>
      <family val="2"/>
    </font>
    <font>
      <b/>
      <sz val="11"/>
      <color theme="1"/>
      <name val="Calibri"/>
      <family val="2"/>
    </font>
    <font>
      <b/>
      <sz val="24"/>
      <color theme="1"/>
      <name val="Calibri"/>
      <family val="2"/>
    </font>
    <font>
      <b/>
      <sz val="22"/>
      <color theme="1"/>
      <name val="Calibri"/>
      <family val="2"/>
    </font>
    <font>
      <b/>
      <sz val="12"/>
      <color rgb="FFFF0000"/>
      <name val="Arial"/>
      <family val="2"/>
    </font>
    <font>
      <b/>
      <sz val="8"/>
      <name val="Arial"/>
      <family val="2"/>
    </font>
  </fonts>
  <fills count="3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theme="1" tint="0.34999001026153564"/>
        <bgColor indexed="64"/>
      </patternFill>
    </fill>
    <fill>
      <patternFill patternType="solid">
        <fgColor theme="1" tint="0.34999001026153564"/>
        <bgColor indexed="64"/>
      </patternFill>
    </fill>
    <fill>
      <patternFill patternType="solid">
        <fgColor theme="1" tint="0.34999001026153564"/>
        <bgColor indexed="64"/>
      </patternFill>
    </fill>
    <fill>
      <patternFill patternType="solid">
        <fgColor theme="0"/>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2"/>
        <bgColor indexed="64"/>
      </patternFill>
    </fill>
    <fill>
      <patternFill patternType="solid">
        <fgColor theme="9" tint="0.599990010261535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style="medium"/>
      <right style="thin"/>
      <top style="thin"/>
      <bottom style="medium"/>
    </border>
    <border>
      <left>
        <color indexed="63"/>
      </left>
      <right style="medium"/>
      <top>
        <color indexed="63"/>
      </top>
      <bottom style="thin"/>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style="medium"/>
      <right style="thin"/>
      <top style="hair"/>
      <bottom style="hair"/>
    </border>
    <border>
      <left style="thin"/>
      <right style="thin"/>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thin"/>
      <right>
        <color indexed="63"/>
      </right>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medium"/>
      <bottom style="thin"/>
    </border>
    <border>
      <left style="medium"/>
      <right style="medium"/>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medium"/>
      <bottom style="thin"/>
    </border>
    <border>
      <left style="thin"/>
      <right style="thin"/>
      <top style="medium"/>
      <bottom>
        <color indexed="63"/>
      </bottom>
    </border>
    <border>
      <left style="medium"/>
      <right style="medium"/>
      <top style="medium"/>
      <bottom>
        <color indexed="63"/>
      </bottom>
    </border>
    <border>
      <left style="medium"/>
      <right style="medium"/>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medium"/>
      <top>
        <color indexed="63"/>
      </top>
      <bottom style="medium"/>
    </border>
    <border>
      <left style="thin"/>
      <right style="medium"/>
      <top>
        <color indexed="63"/>
      </top>
      <bottom>
        <color indexed="63"/>
      </bottom>
    </border>
    <border>
      <left style="medium"/>
      <right>
        <color indexed="63"/>
      </right>
      <top style="thin"/>
      <bottom>
        <color indexed="63"/>
      </bottom>
    </border>
    <border>
      <left>
        <color indexed="63"/>
      </left>
      <right style="medium"/>
      <top>
        <color indexed="63"/>
      </top>
      <bottom style="hair"/>
    </border>
    <border>
      <left>
        <color indexed="63"/>
      </left>
      <right>
        <color indexed="63"/>
      </right>
      <top>
        <color indexed="63"/>
      </top>
      <bottom style="hair"/>
    </border>
    <border>
      <left style="thin"/>
      <right style="medium"/>
      <top style="hair"/>
      <bottom style="thin"/>
    </border>
    <border>
      <left>
        <color indexed="63"/>
      </left>
      <right style="medium"/>
      <top style="thin"/>
      <bottom style="medium"/>
    </border>
    <border>
      <left style="medium"/>
      <right>
        <color indexed="63"/>
      </right>
      <top style="thin"/>
      <bottom style="hair"/>
    </border>
    <border>
      <left>
        <color indexed="63"/>
      </left>
      <right style="medium"/>
      <top style="hair"/>
      <bottom style="hair"/>
    </border>
    <border>
      <left style="thin"/>
      <right>
        <color indexed="63"/>
      </right>
      <top style="hair"/>
      <bottom style="hair"/>
    </border>
    <border>
      <left>
        <color indexed="63"/>
      </left>
      <right>
        <color indexed="63"/>
      </right>
      <top style="medium"/>
      <bottom style="hair"/>
    </border>
    <border>
      <left style="medium"/>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hair"/>
      <bottom>
        <color indexed="63"/>
      </bottom>
    </border>
    <border>
      <left style="medium"/>
      <right>
        <color indexed="63"/>
      </right>
      <top style="hair"/>
      <bottom style="hair"/>
    </border>
    <border>
      <left style="medium"/>
      <right style="thin"/>
      <top style="hair"/>
      <bottom style="thin"/>
    </border>
    <border>
      <left style="thin"/>
      <right style="thin"/>
      <top style="thin"/>
      <bottom style="medium"/>
    </border>
    <border>
      <left style="thin"/>
      <right style="medium"/>
      <top style="thin"/>
      <bottom style="medium"/>
    </border>
  </borders>
  <cellStyleXfs count="38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5"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5" borderId="0" applyNumberFormat="0" applyBorder="0" applyAlignment="0" applyProtection="0"/>
    <xf numFmtId="0" fontId="67" fillId="8"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4" borderId="0" applyNumberFormat="0" applyBorder="0" applyAlignment="0" applyProtection="0"/>
    <xf numFmtId="0" fontId="67" fillId="14"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8" borderId="0" applyNumberFormat="0" applyBorder="0" applyAlignment="0" applyProtection="0"/>
    <xf numFmtId="0" fontId="28" fillId="19" borderId="1" applyNumberFormat="0" applyAlignment="0" applyProtection="0"/>
    <xf numFmtId="0" fontId="69" fillId="20" borderId="2" applyNumberFormat="0" applyAlignment="0" applyProtection="0"/>
    <xf numFmtId="4" fontId="0" fillId="2" borderId="0" applyFont="0" applyFill="0" applyBorder="0" applyAlignment="0" applyProtection="0"/>
    <xf numFmtId="41" fontId="0" fillId="0"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4" fontId="0" fillId="2" borderId="0" applyFont="0" applyFill="0" applyBorder="0" applyAlignment="0" applyProtection="0"/>
    <xf numFmtId="7" fontId="0" fillId="2" borderId="0" applyFont="0" applyFill="0" applyBorder="0" applyAlignment="0" applyProtection="0"/>
    <xf numFmtId="42" fontId="0" fillId="0"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7" fontId="0" fillId="2" borderId="0" applyFont="0" applyFill="0" applyBorder="0" applyAlignment="0" applyProtection="0"/>
    <xf numFmtId="0" fontId="70" fillId="0" borderId="0" applyNumberFormat="0" applyFill="0" applyBorder="0" applyAlignment="0" applyProtection="0"/>
    <xf numFmtId="2" fontId="0" fillId="2" borderId="0" applyFont="0" applyFill="0" applyBorder="0" applyAlignment="0" applyProtection="0"/>
    <xf numFmtId="0" fontId="11" fillId="0" borderId="0" applyNumberFormat="0" applyFill="0" applyBorder="0" applyAlignment="0" applyProtection="0"/>
    <xf numFmtId="0" fontId="71" fillId="8" borderId="0" applyNumberFormat="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 fillId="2" borderId="0" applyFont="0" applyFill="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72" fillId="10" borderId="1" applyNumberFormat="0" applyAlignment="0" applyProtection="0"/>
    <xf numFmtId="0" fontId="30" fillId="0" borderId="4" applyNumberFormat="0" applyFill="0" applyAlignment="0" applyProtection="0"/>
    <xf numFmtId="0" fontId="31" fillId="21"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7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22" borderId="5" applyNumberFormat="0" applyFont="0" applyAlignment="0" applyProtection="0"/>
    <xf numFmtId="0" fontId="74" fillId="19" borderId="6" applyNumberFormat="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10" fontId="0" fillId="2" borderId="0" applyFont="0" applyFill="0" applyBorder="0" applyAlignment="0" applyProtection="0"/>
    <xf numFmtId="0" fontId="34" fillId="0" borderId="0" applyNumberForma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0" fillId="2" borderId="0" applyFont="0" applyFill="0" applyBorder="0" applyAlignment="0" applyProtection="0"/>
    <xf numFmtId="0" fontId="75" fillId="0" borderId="0" applyNumberFormat="0" applyFill="0" applyBorder="0" applyAlignment="0" applyProtection="0"/>
  </cellStyleXfs>
  <cellXfs count="592">
    <xf numFmtId="0" fontId="0" fillId="2" borderId="0" xfId="0" applyFill="1" applyAlignment="1">
      <alignment/>
    </xf>
    <xf numFmtId="0" fontId="0" fillId="23" borderId="0" xfId="0" applyFill="1" applyAlignment="1">
      <alignment/>
    </xf>
    <xf numFmtId="3" fontId="5" fillId="2" borderId="0" xfId="0" applyNumberFormat="1" applyFont="1" applyFill="1" applyAlignment="1">
      <alignment/>
    </xf>
    <xf numFmtId="0" fontId="0" fillId="2" borderId="0" xfId="0" applyFill="1" applyAlignment="1">
      <alignment horizontal="right"/>
    </xf>
    <xf numFmtId="3" fontId="0" fillId="2" borderId="0" xfId="0" applyNumberFormat="1" applyFill="1" applyAlignment="1">
      <alignment/>
    </xf>
    <xf numFmtId="0" fontId="0" fillId="2" borderId="0" xfId="0" applyFill="1" applyBorder="1" applyAlignment="1">
      <alignment/>
    </xf>
    <xf numFmtId="7" fontId="0" fillId="2" borderId="0" xfId="80" applyFont="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ont="1" applyFill="1" applyBorder="1" applyAlignment="1">
      <alignment/>
    </xf>
    <xf numFmtId="0" fontId="0" fillId="2" borderId="11" xfId="0" applyFont="1" applyFill="1" applyBorder="1" applyAlignment="1">
      <alignment/>
    </xf>
    <xf numFmtId="0" fontId="0" fillId="23" borderId="7" xfId="0" applyFill="1" applyBorder="1" applyAlignment="1">
      <alignment/>
    </xf>
    <xf numFmtId="0" fontId="0" fillId="23" borderId="8" xfId="0" applyFill="1" applyBorder="1" applyAlignment="1">
      <alignment/>
    </xf>
    <xf numFmtId="0" fontId="0" fillId="23" borderId="12" xfId="0" applyFill="1" applyBorder="1" applyAlignment="1">
      <alignment/>
    </xf>
    <xf numFmtId="0" fontId="0" fillId="2" borderId="10" xfId="0" applyFill="1" applyBorder="1" applyAlignment="1">
      <alignment horizontal="left"/>
    </xf>
    <xf numFmtId="0" fontId="0" fillId="2" borderId="10" xfId="0" applyFill="1" applyBorder="1" applyAlignment="1">
      <alignment/>
    </xf>
    <xf numFmtId="0" fontId="0" fillId="2" borderId="11" xfId="0" applyFill="1" applyBorder="1" applyAlignment="1">
      <alignment horizontal="left"/>
    </xf>
    <xf numFmtId="0" fontId="0" fillId="2" borderId="13" xfId="0" applyFill="1" applyBorder="1" applyAlignment="1">
      <alignment/>
    </xf>
    <xf numFmtId="0" fontId="3" fillId="23" borderId="13" xfId="0" applyFont="1" applyFill="1" applyBorder="1" applyAlignment="1">
      <alignment horizontal="left"/>
    </xf>
    <xf numFmtId="0" fontId="3" fillId="2" borderId="0" xfId="0" applyFont="1" applyFill="1" applyAlignment="1">
      <alignment/>
    </xf>
    <xf numFmtId="0" fontId="0" fillId="2" borderId="11" xfId="0" applyFill="1" applyBorder="1" applyAlignment="1">
      <alignment/>
    </xf>
    <xf numFmtId="0" fontId="10" fillId="2" borderId="0" xfId="227" applyFill="1" applyAlignment="1" applyProtection="1">
      <alignment/>
      <protection/>
    </xf>
    <xf numFmtId="176" fontId="0" fillId="2" borderId="0" xfId="0" applyNumberFormat="1" applyFont="1" applyFill="1" applyAlignment="1">
      <alignment horizontal="left" wrapText="1"/>
    </xf>
    <xf numFmtId="0" fontId="0" fillId="2" borderId="14" xfId="0" applyFill="1" applyBorder="1" applyAlignment="1">
      <alignment/>
    </xf>
    <xf numFmtId="0" fontId="0" fillId="2" borderId="0" xfId="0" applyFill="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xf>
    <xf numFmtId="0" fontId="0" fillId="0" borderId="0" xfId="0" applyFill="1" applyBorder="1" applyAlignment="1">
      <alignment/>
    </xf>
    <xf numFmtId="0" fontId="3" fillId="23" borderId="0" xfId="0" applyFont="1" applyFill="1" applyAlignment="1">
      <alignment/>
    </xf>
    <xf numFmtId="0" fontId="0" fillId="2" borderId="0" xfId="0" applyFill="1" applyBorder="1" applyAlignment="1">
      <alignment horizontal="center"/>
    </xf>
    <xf numFmtId="0" fontId="0" fillId="2" borderId="0" xfId="0" applyFont="1" applyFill="1" applyBorder="1" applyAlignment="1">
      <alignment/>
    </xf>
    <xf numFmtId="0" fontId="0" fillId="2" borderId="12" xfId="0" applyFill="1" applyBorder="1" applyAlignment="1">
      <alignment/>
    </xf>
    <xf numFmtId="0" fontId="0" fillId="2" borderId="0" xfId="0" applyFill="1" applyBorder="1" applyAlignment="1" applyProtection="1">
      <alignment/>
      <protection/>
    </xf>
    <xf numFmtId="0" fontId="3" fillId="2" borderId="0" xfId="0" applyFont="1" applyFill="1" applyBorder="1" applyAlignment="1">
      <alignment/>
    </xf>
    <xf numFmtId="0" fontId="3" fillId="2" borderId="8" xfId="0" applyFont="1" applyFill="1" applyBorder="1" applyAlignment="1">
      <alignment/>
    </xf>
    <xf numFmtId="0" fontId="3" fillId="2" borderId="13" xfId="0" applyFont="1" applyFill="1" applyBorder="1" applyAlignment="1">
      <alignment/>
    </xf>
    <xf numFmtId="0" fontId="12" fillId="2" borderId="0" xfId="0" applyFont="1" applyFill="1" applyAlignment="1">
      <alignment/>
    </xf>
    <xf numFmtId="0" fontId="2" fillId="2" borderId="0" xfId="0" applyFont="1" applyFill="1" applyAlignment="1">
      <alignment/>
    </xf>
    <xf numFmtId="0" fontId="14" fillId="2" borderId="0" xfId="0" applyFont="1" applyFill="1" applyAlignment="1">
      <alignment/>
    </xf>
    <xf numFmtId="0" fontId="0" fillId="2" borderId="0" xfId="0" applyFill="1" applyAlignment="1">
      <alignment vertical="top" wrapText="1"/>
    </xf>
    <xf numFmtId="0" fontId="13" fillId="2" borderId="0" xfId="0" applyFont="1" applyFill="1" applyAlignment="1">
      <alignment/>
    </xf>
    <xf numFmtId="0" fontId="21" fillId="2" borderId="0" xfId="0" applyFont="1" applyFill="1" applyAlignment="1">
      <alignment horizontal="right"/>
    </xf>
    <xf numFmtId="0" fontId="16" fillId="2" borderId="0" xfId="0" applyFont="1" applyFill="1" applyAlignment="1">
      <alignment horizontal="right"/>
    </xf>
    <xf numFmtId="0" fontId="4" fillId="2" borderId="0" xfId="0" applyFont="1" applyFill="1" applyAlignment="1">
      <alignment horizontal="right"/>
    </xf>
    <xf numFmtId="0" fontId="0" fillId="2" borderId="0" xfId="0" applyFont="1" applyFill="1" applyAlignment="1">
      <alignment/>
    </xf>
    <xf numFmtId="0" fontId="0" fillId="2" borderId="10" xfId="0" applyFill="1" applyBorder="1" applyAlignment="1" applyProtection="1">
      <alignment/>
      <protection/>
    </xf>
    <xf numFmtId="2" fontId="0" fillId="2" borderId="0" xfId="0" applyNumberFormat="1" applyFill="1" applyAlignment="1">
      <alignment/>
    </xf>
    <xf numFmtId="0" fontId="0" fillId="2" borderId="0" xfId="0" applyFill="1" applyBorder="1" applyAlignment="1">
      <alignment vertical="top"/>
    </xf>
    <xf numFmtId="0" fontId="23" fillId="2" borderId="0" xfId="0" applyFont="1" applyFill="1" applyAlignment="1">
      <alignment horizontal="right"/>
    </xf>
    <xf numFmtId="49" fontId="0" fillId="2" borderId="0" xfId="0" applyNumberFormat="1" applyFill="1" applyAlignment="1">
      <alignment horizontal="center"/>
    </xf>
    <xf numFmtId="2" fontId="0" fillId="2" borderId="0" xfId="0" applyNumberFormat="1" applyFill="1" applyBorder="1" applyAlignment="1">
      <alignment horizontal="center"/>
    </xf>
    <xf numFmtId="0" fontId="3" fillId="2" borderId="0" xfId="0" applyFont="1" applyFill="1" applyAlignment="1">
      <alignment horizontal="center"/>
    </xf>
    <xf numFmtId="171" fontId="0" fillId="2" borderId="8" xfId="0" applyNumberFormat="1" applyFill="1" applyBorder="1" applyAlignment="1">
      <alignment/>
    </xf>
    <xf numFmtId="0" fontId="5" fillId="2" borderId="0" xfId="0" applyFont="1" applyFill="1" applyAlignment="1">
      <alignment/>
    </xf>
    <xf numFmtId="0" fontId="5" fillId="2" borderId="0" xfId="0" applyFont="1" applyFill="1" applyAlignment="1">
      <alignment horizontal="right"/>
    </xf>
    <xf numFmtId="49" fontId="5" fillId="2" borderId="0" xfId="0" applyNumberFormat="1" applyFont="1" applyFill="1" applyAlignment="1">
      <alignment horizontal="right"/>
    </xf>
    <xf numFmtId="177" fontId="5" fillId="2" borderId="0" xfId="0" applyNumberFormat="1" applyFont="1" applyFill="1" applyAlignment="1">
      <alignment horizontal="right"/>
    </xf>
    <xf numFmtId="14" fontId="5" fillId="2" borderId="0" xfId="0" applyNumberFormat="1" applyFont="1" applyFill="1" applyAlignment="1">
      <alignment horizontal="right"/>
    </xf>
    <xf numFmtId="10" fontId="5" fillId="2" borderId="0" xfId="0" applyNumberFormat="1" applyFont="1" applyFill="1" applyAlignment="1">
      <alignment horizontal="right"/>
    </xf>
    <xf numFmtId="10" fontId="5" fillId="2" borderId="0" xfId="279" applyFont="1" applyAlignment="1">
      <alignment horizontal="right"/>
    </xf>
    <xf numFmtId="165" fontId="5" fillId="2" borderId="0" xfId="279" applyNumberFormat="1" applyFont="1" applyAlignment="1">
      <alignment horizontal="right"/>
    </xf>
    <xf numFmtId="7" fontId="5" fillId="2" borderId="0" xfId="0" applyNumberFormat="1" applyFont="1" applyFill="1" applyAlignment="1">
      <alignment horizontal="right"/>
    </xf>
    <xf numFmtId="169" fontId="5" fillId="2" borderId="0" xfId="0" applyNumberFormat="1" applyFont="1" applyFill="1" applyAlignment="1">
      <alignment horizontal="right"/>
    </xf>
    <xf numFmtId="49" fontId="5" fillId="2" borderId="0" xfId="0" applyNumberFormat="1" applyFont="1" applyFill="1" applyAlignment="1">
      <alignment horizontal="left"/>
    </xf>
    <xf numFmtId="0" fontId="5" fillId="2" borderId="0" xfId="0" applyNumberFormat="1" applyFont="1" applyFill="1" applyAlignment="1">
      <alignment horizontal="center"/>
    </xf>
    <xf numFmtId="14" fontId="5" fillId="2" borderId="0" xfId="0" applyNumberFormat="1" applyFont="1" applyFill="1" applyAlignment="1">
      <alignment horizontal="center"/>
    </xf>
    <xf numFmtId="169" fontId="5" fillId="2" borderId="0" xfId="0" applyNumberFormat="1" applyFont="1" applyFill="1" applyAlignment="1">
      <alignment horizontal="center"/>
    </xf>
    <xf numFmtId="0" fontId="5" fillId="2" borderId="0" xfId="0" applyFont="1" applyFill="1" applyAlignment="1">
      <alignment horizontal="left"/>
    </xf>
    <xf numFmtId="49" fontId="5" fillId="2" borderId="0" xfId="0" applyNumberFormat="1" applyFont="1" applyFill="1" applyAlignment="1">
      <alignment/>
    </xf>
    <xf numFmtId="2" fontId="5" fillId="2" borderId="0" xfId="0" applyNumberFormat="1" applyFont="1" applyFill="1" applyAlignment="1">
      <alignment horizontal="right"/>
    </xf>
    <xf numFmtId="9" fontId="5" fillId="2" borderId="0" xfId="0" applyNumberFormat="1" applyFont="1" applyFill="1" applyAlignment="1">
      <alignment horizontal="right"/>
    </xf>
    <xf numFmtId="7" fontId="5" fillId="2" borderId="0" xfId="80" applyFont="1" applyAlignment="1">
      <alignment horizontal="right"/>
    </xf>
    <xf numFmtId="7" fontId="5" fillId="2" borderId="0" xfId="0" applyNumberFormat="1" applyFont="1" applyFill="1" applyAlignment="1">
      <alignment/>
    </xf>
    <xf numFmtId="7" fontId="5" fillId="2" borderId="0" xfId="0" applyNumberFormat="1" applyFont="1" applyFill="1" applyBorder="1" applyAlignment="1">
      <alignment horizontal="right"/>
    </xf>
    <xf numFmtId="0" fontId="24" fillId="2" borderId="0" xfId="0" applyFont="1" applyFill="1" applyAlignment="1">
      <alignment/>
    </xf>
    <xf numFmtId="0" fontId="5" fillId="0" borderId="0" xfId="0" applyFont="1" applyFill="1" applyBorder="1" applyAlignment="1" applyProtection="1">
      <alignment horizontal="right"/>
      <protection/>
    </xf>
    <xf numFmtId="2" fontId="5" fillId="2" borderId="0" xfId="0" applyNumberFormat="1" applyFont="1" applyFill="1" applyAlignment="1">
      <alignment/>
    </xf>
    <xf numFmtId="0" fontId="25" fillId="2" borderId="0" xfId="0" applyFont="1" applyFill="1" applyAlignment="1">
      <alignment horizontal="right"/>
    </xf>
    <xf numFmtId="0" fontId="25" fillId="2" borderId="0" xfId="0" applyFont="1" applyFill="1" applyAlignment="1">
      <alignment/>
    </xf>
    <xf numFmtId="173" fontId="5" fillId="2" borderId="0" xfId="0" applyNumberFormat="1" applyFont="1" applyFill="1" applyAlignment="1">
      <alignment horizontal="right"/>
    </xf>
    <xf numFmtId="10" fontId="5" fillId="2" borderId="0" xfId="0" applyNumberFormat="1" applyFont="1" applyFill="1" applyAlignment="1">
      <alignment/>
    </xf>
    <xf numFmtId="0" fontId="5" fillId="2" borderId="0" xfId="0" applyFont="1" applyFill="1" applyBorder="1" applyAlignment="1">
      <alignment horizontal="right"/>
    </xf>
    <xf numFmtId="0" fontId="5" fillId="2" borderId="0" xfId="0" applyFont="1" applyFill="1" applyBorder="1" applyAlignment="1">
      <alignment vertical="top"/>
    </xf>
    <xf numFmtId="0" fontId="5" fillId="2" borderId="0" xfId="0" applyFont="1" applyFill="1" applyBorder="1" applyAlignment="1" applyProtection="1">
      <alignment wrapText="1"/>
      <protection/>
    </xf>
    <xf numFmtId="0" fontId="5" fillId="2" borderId="0" xfId="0" applyFont="1" applyFill="1" applyBorder="1" applyAlignment="1">
      <alignment/>
    </xf>
    <xf numFmtId="0" fontId="18" fillId="2" borderId="0" xfId="0" applyFont="1" applyFill="1" applyAlignment="1">
      <alignment/>
    </xf>
    <xf numFmtId="171" fontId="5" fillId="2" borderId="0" xfId="0" applyNumberFormat="1" applyFont="1" applyFill="1" applyAlignment="1">
      <alignment horizontal="right"/>
    </xf>
    <xf numFmtId="0" fontId="5" fillId="2" borderId="0" xfId="0" applyFont="1" applyFill="1" applyAlignment="1">
      <alignment horizontal="center"/>
    </xf>
    <xf numFmtId="2" fontId="18" fillId="2" borderId="0" xfId="0" applyNumberFormat="1" applyFont="1" applyFill="1" applyAlignment="1">
      <alignment horizontal="right"/>
    </xf>
    <xf numFmtId="0" fontId="18" fillId="2" borderId="0" xfId="0" applyFont="1" applyFill="1" applyAlignment="1">
      <alignment horizontal="right"/>
    </xf>
    <xf numFmtId="7" fontId="18" fillId="2" borderId="0" xfId="0" applyNumberFormat="1" applyFont="1" applyFill="1" applyAlignment="1">
      <alignment horizontal="right"/>
    </xf>
    <xf numFmtId="14" fontId="5" fillId="0" borderId="0" xfId="0" applyNumberFormat="1" applyFont="1" applyFill="1" applyBorder="1" applyAlignment="1" applyProtection="1">
      <alignment horizontal="right"/>
      <protection/>
    </xf>
    <xf numFmtId="7" fontId="5" fillId="2" borderId="0" xfId="80" applyFont="1" applyAlignment="1">
      <alignment/>
    </xf>
    <xf numFmtId="7" fontId="5" fillId="2" borderId="0" xfId="80" applyFont="1" applyAlignment="1">
      <alignment horizontal="center"/>
    </xf>
    <xf numFmtId="0" fontId="25" fillId="2" borderId="0" xfId="0" applyFont="1" applyFill="1" applyBorder="1" applyAlignment="1">
      <alignment horizontal="right"/>
    </xf>
    <xf numFmtId="7" fontId="5" fillId="2" borderId="0" xfId="80" applyFont="1" applyBorder="1" applyAlignment="1">
      <alignment horizontal="right"/>
    </xf>
    <xf numFmtId="14" fontId="5" fillId="2" borderId="0" xfId="0" applyNumberFormat="1" applyFont="1" applyFill="1" applyBorder="1" applyAlignment="1">
      <alignment horizontal="right"/>
    </xf>
    <xf numFmtId="0" fontId="5" fillId="2" borderId="0" xfId="0" applyFont="1" applyFill="1" applyBorder="1" applyAlignment="1" applyProtection="1">
      <alignment/>
      <protection/>
    </xf>
    <xf numFmtId="7" fontId="5" fillId="2" borderId="0" xfId="0" applyNumberFormat="1" applyFont="1" applyFill="1" applyAlignment="1">
      <alignment horizontal="right"/>
    </xf>
    <xf numFmtId="49" fontId="5" fillId="2" borderId="0" xfId="0" applyNumberFormat="1" applyFont="1" applyFill="1" applyAlignment="1">
      <alignment horizontal="center"/>
    </xf>
    <xf numFmtId="0" fontId="5" fillId="2" borderId="10" xfId="0" applyFont="1" applyFill="1" applyBorder="1" applyAlignment="1">
      <alignment/>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0" fillId="2" borderId="11" xfId="0" applyFill="1" applyBorder="1" applyAlignment="1" applyProtection="1">
      <alignment/>
      <protection/>
    </xf>
    <xf numFmtId="0" fontId="0" fillId="2" borderId="9" xfId="0" applyFill="1" applyBorder="1" applyAlignment="1" applyProtection="1">
      <alignment/>
      <protection/>
    </xf>
    <xf numFmtId="0" fontId="0" fillId="2" borderId="12" xfId="0" applyFill="1" applyBorder="1" applyAlignment="1" applyProtection="1">
      <alignment/>
      <protection/>
    </xf>
    <xf numFmtId="0" fontId="14" fillId="0" borderId="0" xfId="0" applyFont="1" applyFill="1" applyBorder="1" applyAlignment="1">
      <alignment vertical="top" wrapText="1"/>
    </xf>
    <xf numFmtId="0" fontId="14" fillId="0" borderId="0" xfId="0" applyFont="1" applyFill="1" applyBorder="1" applyAlignment="1">
      <alignment/>
    </xf>
    <xf numFmtId="0" fontId="26" fillId="2" borderId="0" xfId="0" applyFont="1" applyFill="1" applyAlignment="1">
      <alignment/>
    </xf>
    <xf numFmtId="44" fontId="0" fillId="2" borderId="0" xfId="0" applyNumberFormat="1" applyFill="1" applyBorder="1" applyAlignment="1">
      <alignment/>
    </xf>
    <xf numFmtId="0" fontId="3" fillId="0" borderId="0" xfId="0" applyFont="1" applyFill="1" applyBorder="1" applyAlignment="1">
      <alignment/>
    </xf>
    <xf numFmtId="0" fontId="7" fillId="2" borderId="0" xfId="0" applyFont="1" applyFill="1" applyAlignment="1">
      <alignment/>
    </xf>
    <xf numFmtId="0" fontId="3" fillId="2" borderId="15" xfId="0" applyFont="1" applyFill="1" applyBorder="1" applyAlignment="1">
      <alignment/>
    </xf>
    <xf numFmtId="44" fontId="3" fillId="2" borderId="0" xfId="0" applyNumberFormat="1" applyFont="1" applyFill="1" applyBorder="1" applyAlignment="1">
      <alignment horizontal="right"/>
    </xf>
    <xf numFmtId="0" fontId="0" fillId="2" borderId="15" xfId="0" applyFill="1" applyBorder="1" applyAlignment="1">
      <alignment/>
    </xf>
    <xf numFmtId="0" fontId="9" fillId="2" borderId="0" xfId="0" applyFont="1" applyFill="1" applyBorder="1" applyAlignment="1">
      <alignment/>
    </xf>
    <xf numFmtId="0" fontId="0" fillId="2" borderId="16" xfId="0" applyFill="1" applyBorder="1" applyAlignment="1">
      <alignment/>
    </xf>
    <xf numFmtId="0" fontId="0" fillId="2" borderId="17" xfId="0" applyFill="1" applyBorder="1" applyAlignment="1">
      <alignment/>
    </xf>
    <xf numFmtId="0" fontId="9" fillId="2" borderId="0" xfId="0" applyFont="1" applyFill="1" applyAlignment="1">
      <alignment/>
    </xf>
    <xf numFmtId="0" fontId="0" fillId="0" borderId="0" xfId="0" applyBorder="1" applyAlignment="1">
      <alignment/>
    </xf>
    <xf numFmtId="0" fontId="0" fillId="0" borderId="0" xfId="0" applyFont="1" applyFill="1" applyAlignment="1">
      <alignment/>
    </xf>
    <xf numFmtId="0" fontId="12" fillId="2" borderId="0" xfId="0" applyFont="1" applyFill="1" applyBorder="1" applyAlignment="1">
      <alignment/>
    </xf>
    <xf numFmtId="0" fontId="0" fillId="0" borderId="0" xfId="0" applyFill="1" applyAlignment="1">
      <alignment/>
    </xf>
    <xf numFmtId="0" fontId="0" fillId="0" borderId="11" xfId="0" applyFill="1" applyBorder="1" applyAlignment="1">
      <alignment horizontal="center"/>
    </xf>
    <xf numFmtId="0" fontId="0" fillId="0" borderId="8" xfId="0" applyFill="1" applyBorder="1" applyAlignment="1">
      <alignment horizontal="center"/>
    </xf>
    <xf numFmtId="0" fontId="0" fillId="2" borderId="0" xfId="0" applyFill="1" applyAlignment="1" quotePrefix="1">
      <alignment/>
    </xf>
    <xf numFmtId="0" fontId="32" fillId="2" borderId="0" xfId="0" applyFont="1" applyFill="1" applyAlignment="1">
      <alignment/>
    </xf>
    <xf numFmtId="0" fontId="0" fillId="2" borderId="8" xfId="0" applyFont="1" applyFill="1" applyBorder="1" applyAlignment="1">
      <alignment/>
    </xf>
    <xf numFmtId="0" fontId="0" fillId="0" borderId="0" xfId="0" applyAlignment="1">
      <alignment/>
    </xf>
    <xf numFmtId="0" fontId="0" fillId="2" borderId="17" xfId="0" applyFont="1" applyFill="1" applyBorder="1" applyAlignment="1">
      <alignment/>
    </xf>
    <xf numFmtId="0" fontId="33" fillId="2" borderId="0" xfId="0" applyFont="1" applyFill="1" applyAlignment="1">
      <alignment/>
    </xf>
    <xf numFmtId="0" fontId="3" fillId="0" borderId="10" xfId="0" applyFont="1" applyFill="1" applyBorder="1" applyAlignment="1" applyProtection="1">
      <alignment vertical="top"/>
      <protection/>
    </xf>
    <xf numFmtId="7" fontId="0" fillId="2" borderId="7" xfId="80" applyFont="1" applyBorder="1" applyAlignment="1">
      <alignment/>
    </xf>
    <xf numFmtId="0" fontId="10" fillId="2" borderId="0" xfId="227" applyFill="1" applyBorder="1" applyAlignment="1" applyProtection="1">
      <alignment/>
      <protection/>
    </xf>
    <xf numFmtId="0" fontId="0" fillId="2" borderId="18" xfId="0" applyFill="1" applyBorder="1" applyAlignment="1">
      <alignment/>
    </xf>
    <xf numFmtId="0" fontId="0" fillId="2" borderId="19" xfId="0" applyFill="1" applyBorder="1" applyAlignment="1">
      <alignment/>
    </xf>
    <xf numFmtId="0" fontId="3" fillId="2" borderId="20" xfId="0" applyFont="1" applyFill="1" applyBorder="1" applyAlignment="1">
      <alignment horizontal="center"/>
    </xf>
    <xf numFmtId="176" fontId="0" fillId="2" borderId="0" xfId="0" applyNumberFormat="1" applyFill="1" applyAlignment="1">
      <alignment/>
    </xf>
    <xf numFmtId="0" fontId="76" fillId="2" borderId="0" xfId="0" applyFont="1" applyFill="1" applyAlignment="1">
      <alignment/>
    </xf>
    <xf numFmtId="0" fontId="0" fillId="2" borderId="17" xfId="0" applyFill="1" applyBorder="1" applyAlignment="1">
      <alignment vertical="top"/>
    </xf>
    <xf numFmtId="0" fontId="77" fillId="2" borderId="0" xfId="0" applyFont="1" applyFill="1" applyAlignment="1">
      <alignment/>
    </xf>
    <xf numFmtId="0" fontId="0" fillId="2" borderId="21" xfId="0" applyFont="1" applyFill="1" applyBorder="1" applyAlignment="1">
      <alignment/>
    </xf>
    <xf numFmtId="176" fontId="15" fillId="2" borderId="14" xfId="0" applyNumberFormat="1" applyFont="1" applyFill="1" applyBorder="1" applyAlignment="1">
      <alignment horizontal="right"/>
    </xf>
    <xf numFmtId="0" fontId="15" fillId="2" borderId="22" xfId="0" applyFont="1" applyFill="1" applyBorder="1" applyAlignment="1">
      <alignment horizontal="right"/>
    </xf>
    <xf numFmtId="2" fontId="0" fillId="2" borderId="23" xfId="0" applyNumberFormat="1" applyFont="1" applyFill="1" applyBorder="1" applyAlignment="1">
      <alignment horizontal="center"/>
    </xf>
    <xf numFmtId="0" fontId="0" fillId="2" borderId="24" xfId="0" applyFill="1" applyBorder="1" applyAlignment="1">
      <alignment/>
    </xf>
    <xf numFmtId="0" fontId="0" fillId="0" borderId="0" xfId="0" applyFill="1" applyBorder="1" applyAlignment="1" applyProtection="1">
      <alignment horizontal="left"/>
      <protection/>
    </xf>
    <xf numFmtId="0" fontId="78" fillId="2" borderId="0" xfId="0" applyFont="1" applyFill="1" applyAlignment="1">
      <alignment/>
    </xf>
    <xf numFmtId="0" fontId="79" fillId="2" borderId="0" xfId="0" applyFont="1" applyFill="1" applyAlignment="1">
      <alignment vertical="center"/>
    </xf>
    <xf numFmtId="0" fontId="0" fillId="2" borderId="17" xfId="232" applyFont="1" applyFill="1" applyBorder="1" applyAlignment="1">
      <alignment/>
      <protection/>
    </xf>
    <xf numFmtId="0" fontId="58" fillId="2" borderId="17" xfId="232" applyFont="1" applyFill="1" applyBorder="1" applyAlignment="1">
      <alignment/>
      <protection/>
    </xf>
    <xf numFmtId="0" fontId="73" fillId="0" borderId="17" xfId="266" applyBorder="1">
      <alignment/>
      <protection/>
    </xf>
    <xf numFmtId="0" fontId="80" fillId="0" borderId="25" xfId="266" applyFont="1" applyBorder="1">
      <alignment/>
      <protection/>
    </xf>
    <xf numFmtId="0" fontId="0" fillId="2" borderId="25" xfId="232" applyFill="1" applyBorder="1" applyAlignment="1">
      <alignment/>
      <protection/>
    </xf>
    <xf numFmtId="0" fontId="0" fillId="2" borderId="25" xfId="232" applyFont="1" applyFill="1" applyBorder="1" applyAlignment="1">
      <alignment/>
      <protection/>
    </xf>
    <xf numFmtId="0" fontId="35" fillId="2" borderId="0" xfId="0" applyFont="1" applyFill="1" applyBorder="1" applyAlignment="1">
      <alignment wrapText="1"/>
    </xf>
    <xf numFmtId="0" fontId="9" fillId="2" borderId="13" xfId="0" applyFont="1" applyFill="1" applyBorder="1" applyAlignment="1">
      <alignment/>
    </xf>
    <xf numFmtId="14" fontId="0" fillId="2" borderId="10" xfId="0" applyNumberFormat="1" applyFont="1" applyFill="1" applyBorder="1" applyAlignment="1">
      <alignment/>
    </xf>
    <xf numFmtId="0" fontId="0" fillId="24" borderId="17" xfId="0" applyFont="1" applyFill="1" applyBorder="1" applyAlignment="1">
      <alignment/>
    </xf>
    <xf numFmtId="0" fontId="0" fillId="0" borderId="17" xfId="0" applyFont="1" applyFill="1" applyBorder="1" applyAlignment="1">
      <alignment/>
    </xf>
    <xf numFmtId="0" fontId="0" fillId="2" borderId="17" xfId="0" applyFill="1" applyBorder="1" applyAlignment="1">
      <alignment horizontal="right"/>
    </xf>
    <xf numFmtId="14" fontId="0" fillId="2" borderId="17" xfId="0" applyNumberFormat="1" applyFill="1" applyBorder="1" applyAlignment="1">
      <alignment horizontal="right"/>
    </xf>
    <xf numFmtId="0" fontId="0" fillId="0" borderId="17" xfId="0" applyFill="1" applyBorder="1" applyAlignment="1">
      <alignment horizontal="right"/>
    </xf>
    <xf numFmtId="0" fontId="0" fillId="2" borderId="17" xfId="0" applyFill="1" applyBorder="1" applyAlignment="1">
      <alignment horizontal="left" vertical="top" wrapText="1"/>
    </xf>
    <xf numFmtId="0" fontId="0" fillId="2" borderId="24" xfId="0" applyFill="1" applyBorder="1" applyAlignment="1">
      <alignment horizontal="right"/>
    </xf>
    <xf numFmtId="0" fontId="0" fillId="24" borderId="24" xfId="0" applyFill="1" applyBorder="1" applyAlignment="1">
      <alignment horizontal="right"/>
    </xf>
    <xf numFmtId="2" fontId="0" fillId="2" borderId="17" xfId="0" applyNumberFormat="1" applyFill="1" applyBorder="1" applyAlignment="1">
      <alignment horizontal="right"/>
    </xf>
    <xf numFmtId="10" fontId="0" fillId="2" borderId="17" xfId="0" applyNumberFormat="1" applyFill="1" applyBorder="1" applyAlignment="1">
      <alignment horizontal="right"/>
    </xf>
    <xf numFmtId="165" fontId="0" fillId="2" borderId="17" xfId="0" applyNumberFormat="1" applyFill="1" applyBorder="1" applyAlignment="1">
      <alignment horizontal="right"/>
    </xf>
    <xf numFmtId="2" fontId="0" fillId="2" borderId="24" xfId="0" applyNumberFormat="1" applyFill="1" applyBorder="1" applyAlignment="1">
      <alignment horizontal="right"/>
    </xf>
    <xf numFmtId="171" fontId="0" fillId="2" borderId="24" xfId="0" applyNumberFormat="1" applyFill="1" applyBorder="1" applyAlignment="1">
      <alignment horizontal="right"/>
    </xf>
    <xf numFmtId="0" fontId="3" fillId="2" borderId="0" xfId="0" applyNumberFormat="1" applyFont="1" applyFill="1" applyAlignment="1">
      <alignment horizontal="left" vertical="top" wrapText="1"/>
    </xf>
    <xf numFmtId="7" fontId="0" fillId="2" borderId="0" xfId="0" applyNumberFormat="1" applyFill="1" applyBorder="1" applyAlignment="1">
      <alignment horizontal="center"/>
    </xf>
    <xf numFmtId="0" fontId="3" fillId="2" borderId="0" xfId="0" applyFont="1" applyFill="1" applyAlignment="1">
      <alignment wrapText="1"/>
    </xf>
    <xf numFmtId="0" fontId="0" fillId="2" borderId="0" xfId="0" applyFill="1" applyAlignment="1">
      <alignment wrapText="1"/>
    </xf>
    <xf numFmtId="0" fontId="0" fillId="2" borderId="0" xfId="0" applyFont="1" applyFill="1" applyAlignment="1">
      <alignment horizontal="right"/>
    </xf>
    <xf numFmtId="49" fontId="0" fillId="2" borderId="0" xfId="0" applyNumberFormat="1" applyFill="1" applyAlignment="1">
      <alignment/>
    </xf>
    <xf numFmtId="49" fontId="0" fillId="2" borderId="17" xfId="0" applyNumberFormat="1" applyFill="1" applyBorder="1" applyAlignment="1">
      <alignment/>
    </xf>
    <xf numFmtId="2" fontId="0" fillId="2" borderId="17" xfId="0" applyNumberFormat="1" applyFill="1" applyBorder="1" applyAlignment="1">
      <alignment/>
    </xf>
    <xf numFmtId="2" fontId="0" fillId="2" borderId="17" xfId="0" applyNumberFormat="1" applyFont="1" applyFill="1" applyBorder="1" applyAlignment="1">
      <alignment/>
    </xf>
    <xf numFmtId="2" fontId="3" fillId="2" borderId="17" xfId="0" applyNumberFormat="1" applyFont="1" applyFill="1" applyBorder="1" applyAlignment="1">
      <alignment horizontal="right"/>
    </xf>
    <xf numFmtId="2" fontId="2" fillId="2" borderId="17" xfId="0" applyNumberFormat="1" applyFont="1" applyFill="1" applyBorder="1" applyAlignment="1">
      <alignment horizontal="right"/>
    </xf>
    <xf numFmtId="49" fontId="0" fillId="2" borderId="17" xfId="0" applyNumberFormat="1" applyFont="1" applyFill="1" applyBorder="1" applyAlignment="1">
      <alignment/>
    </xf>
    <xf numFmtId="0" fontId="0" fillId="25" borderId="17" xfId="0" applyFont="1" applyFill="1" applyBorder="1" applyAlignment="1" applyProtection="1">
      <alignment horizontal="center"/>
      <protection locked="0"/>
    </xf>
    <xf numFmtId="0" fontId="0" fillId="25" borderId="17" xfId="0" applyFill="1" applyBorder="1" applyAlignment="1" applyProtection="1">
      <alignment horizontal="center"/>
      <protection locked="0"/>
    </xf>
    <xf numFmtId="7" fontId="0" fillId="2" borderId="12" xfId="0" applyNumberFormat="1" applyFill="1" applyBorder="1" applyAlignment="1">
      <alignment horizontal="center"/>
    </xf>
    <xf numFmtId="0" fontId="0" fillId="2" borderId="26" xfId="0" applyFont="1" applyFill="1" applyBorder="1" applyAlignment="1">
      <alignment/>
    </xf>
    <xf numFmtId="10" fontId="23" fillId="2" borderId="10" xfId="0" applyNumberFormat="1" applyFont="1" applyFill="1" applyBorder="1" applyAlignment="1">
      <alignment/>
    </xf>
    <xf numFmtId="0" fontId="0" fillId="2" borderId="0" xfId="0" applyFont="1" applyFill="1" applyAlignment="1">
      <alignment vertical="center"/>
    </xf>
    <xf numFmtId="7" fontId="0" fillId="2" borderId="27" xfId="0" applyNumberFormat="1" applyFill="1" applyBorder="1" applyAlignment="1">
      <alignment/>
    </xf>
    <xf numFmtId="49" fontId="0" fillId="2" borderId="28" xfId="0" applyNumberFormat="1" applyFont="1" applyFill="1" applyBorder="1" applyAlignment="1">
      <alignment horizontal="center"/>
    </xf>
    <xf numFmtId="49" fontId="0" fillId="2" borderId="29" xfId="0" applyNumberFormat="1" applyFont="1" applyFill="1" applyBorder="1" applyAlignment="1">
      <alignment horizontal="center"/>
    </xf>
    <xf numFmtId="49" fontId="10" fillId="2" borderId="29" xfId="227" applyNumberFormat="1" applyFill="1" applyBorder="1" applyAlignment="1" applyProtection="1">
      <alignment horizontal="center"/>
      <protection/>
    </xf>
    <xf numFmtId="14" fontId="3" fillId="2" borderId="29" xfId="0" applyNumberFormat="1" applyFont="1" applyFill="1" applyBorder="1" applyAlignment="1">
      <alignment horizontal="center"/>
    </xf>
    <xf numFmtId="14" fontId="0" fillId="2" borderId="29" xfId="0" applyNumberFormat="1" applyFill="1" applyBorder="1" applyAlignment="1">
      <alignment horizontal="center"/>
    </xf>
    <xf numFmtId="0" fontId="0" fillId="2" borderId="29" xfId="0" applyFill="1" applyBorder="1" applyAlignment="1">
      <alignment horizontal="center"/>
    </xf>
    <xf numFmtId="49" fontId="0" fillId="2" borderId="29" xfId="0" applyNumberFormat="1" applyFill="1" applyBorder="1" applyAlignment="1">
      <alignment horizontal="center"/>
    </xf>
    <xf numFmtId="14" fontId="0" fillId="2" borderId="30" xfId="0" applyNumberFormat="1" applyFill="1" applyBorder="1" applyAlignment="1">
      <alignment horizontal="center"/>
    </xf>
    <xf numFmtId="0" fontId="0" fillId="2" borderId="20" xfId="0" applyFill="1" applyBorder="1" applyAlignment="1">
      <alignment/>
    </xf>
    <xf numFmtId="0" fontId="0" fillId="2" borderId="7" xfId="0" applyFont="1" applyFill="1" applyBorder="1" applyAlignment="1">
      <alignment/>
    </xf>
    <xf numFmtId="49" fontId="80" fillId="0" borderId="29" xfId="0" applyNumberFormat="1" applyFont="1" applyBorder="1" applyAlignment="1">
      <alignment horizontal="center"/>
    </xf>
    <xf numFmtId="0" fontId="0" fillId="2" borderId="17" xfId="0" applyNumberFormat="1" applyFill="1" applyBorder="1" applyAlignment="1">
      <alignment horizontal="right"/>
    </xf>
    <xf numFmtId="0" fontId="0" fillId="2" borderId="9" xfId="0" applyFill="1" applyBorder="1" applyAlignment="1">
      <alignment horizontal="left"/>
    </xf>
    <xf numFmtId="0" fontId="0" fillId="2" borderId="20" xfId="0" applyFill="1" applyBorder="1" applyAlignment="1">
      <alignment horizontal="center"/>
    </xf>
    <xf numFmtId="0" fontId="0" fillId="2" borderId="16" xfId="0" applyFill="1" applyBorder="1" applyAlignment="1">
      <alignment horizontal="center"/>
    </xf>
    <xf numFmtId="0" fontId="0" fillId="2" borderId="15" xfId="0" applyFill="1" applyBorder="1" applyAlignment="1">
      <alignment horizontal="left"/>
    </xf>
    <xf numFmtId="0" fontId="0" fillId="2" borderId="20" xfId="0" applyFill="1" applyBorder="1" applyAlignment="1">
      <alignment horizontal="left"/>
    </xf>
    <xf numFmtId="0" fontId="0" fillId="2" borderId="31" xfId="0" applyFill="1" applyBorder="1" applyAlignment="1">
      <alignment/>
    </xf>
    <xf numFmtId="0" fontId="0" fillId="2" borderId="32" xfId="0" applyFill="1" applyBorder="1" applyAlignment="1">
      <alignment/>
    </xf>
    <xf numFmtId="0" fontId="0" fillId="23" borderId="16" xfId="0" applyFill="1" applyBorder="1" applyAlignment="1">
      <alignment/>
    </xf>
    <xf numFmtId="0" fontId="6" fillId="23" borderId="33" xfId="0" applyFont="1" applyFill="1" applyBorder="1" applyAlignment="1">
      <alignment/>
    </xf>
    <xf numFmtId="0" fontId="81" fillId="26" borderId="34" xfId="0" applyFont="1" applyFill="1" applyBorder="1" applyAlignment="1">
      <alignment/>
    </xf>
    <xf numFmtId="7" fontId="0" fillId="2" borderId="35" xfId="80" applyFont="1" applyBorder="1" applyAlignment="1">
      <alignment/>
    </xf>
    <xf numFmtId="7" fontId="0" fillId="2" borderId="35" xfId="80" applyFont="1" applyBorder="1" applyAlignment="1">
      <alignment/>
    </xf>
    <xf numFmtId="7" fontId="0" fillId="2" borderId="36" xfId="80" applyFont="1" applyBorder="1" applyAlignment="1">
      <alignment/>
    </xf>
    <xf numFmtId="0" fontId="0" fillId="26" borderId="0" xfId="0" applyFill="1" applyBorder="1" applyAlignment="1">
      <alignment/>
    </xf>
    <xf numFmtId="0" fontId="0" fillId="26" borderId="9" xfId="0" applyFill="1" applyBorder="1" applyAlignment="1">
      <alignment/>
    </xf>
    <xf numFmtId="0" fontId="3" fillId="2" borderId="15" xfId="0" applyFont="1" applyFill="1" applyBorder="1" applyAlignment="1">
      <alignment horizontal="center"/>
    </xf>
    <xf numFmtId="0" fontId="0" fillId="2" borderId="12" xfId="0" applyFill="1" applyBorder="1" applyAlignment="1">
      <alignment horizontal="left"/>
    </xf>
    <xf numFmtId="0" fontId="0" fillId="2" borderId="37" xfId="0" applyFill="1" applyBorder="1" applyAlignment="1">
      <alignment horizontal="left"/>
    </xf>
    <xf numFmtId="0" fontId="0" fillId="2" borderId="35" xfId="0" applyFill="1" applyBorder="1" applyAlignment="1">
      <alignment horizontal="left"/>
    </xf>
    <xf numFmtId="0" fontId="0" fillId="2" borderId="36" xfId="0" applyFill="1" applyBorder="1" applyAlignment="1">
      <alignment horizontal="left"/>
    </xf>
    <xf numFmtId="0" fontId="0" fillId="23" borderId="17" xfId="0" applyFill="1" applyBorder="1" applyAlignment="1">
      <alignment horizontal="right"/>
    </xf>
    <xf numFmtId="7" fontId="0" fillId="2" borderId="38" xfId="80" applyFont="1" applyBorder="1" applyAlignment="1">
      <alignment/>
    </xf>
    <xf numFmtId="7" fontId="0" fillId="2" borderId="39" xfId="80" applyFont="1" applyBorder="1" applyAlignment="1">
      <alignment/>
    </xf>
    <xf numFmtId="10" fontId="0" fillId="2" borderId="38" xfId="80" applyNumberFormat="1" applyFont="1" applyBorder="1" applyAlignment="1">
      <alignment/>
    </xf>
    <xf numFmtId="10" fontId="0" fillId="2" borderId="39" xfId="80" applyNumberFormat="1" applyFont="1" applyBorder="1" applyAlignment="1">
      <alignment/>
    </xf>
    <xf numFmtId="0" fontId="0" fillId="2" borderId="40" xfId="0" applyFont="1" applyFill="1" applyBorder="1" applyAlignment="1">
      <alignment horizontal="center"/>
    </xf>
    <xf numFmtId="0" fontId="0" fillId="2" borderId="33" xfId="0" applyFont="1" applyFill="1" applyBorder="1" applyAlignment="1">
      <alignment horizontal="center"/>
    </xf>
    <xf numFmtId="10" fontId="0" fillId="2" borderId="9" xfId="0" applyNumberFormat="1" applyFill="1" applyBorder="1" applyAlignment="1">
      <alignment horizontal="left"/>
    </xf>
    <xf numFmtId="10" fontId="0" fillId="2" borderId="12" xfId="0" applyNumberFormat="1" applyFill="1" applyBorder="1" applyAlignment="1">
      <alignment horizontal="left"/>
    </xf>
    <xf numFmtId="0" fontId="0" fillId="2" borderId="38" xfId="0" applyFont="1" applyFill="1" applyBorder="1" applyAlignment="1">
      <alignment horizontal="center"/>
    </xf>
    <xf numFmtId="0" fontId="0" fillId="2" borderId="39" xfId="0" applyFont="1" applyFill="1" applyBorder="1" applyAlignment="1">
      <alignment horizontal="center"/>
    </xf>
    <xf numFmtId="10" fontId="0" fillId="2" borderId="0" xfId="0" applyNumberFormat="1" applyFill="1" applyBorder="1" applyAlignment="1">
      <alignment horizontal="left"/>
    </xf>
    <xf numFmtId="10" fontId="0" fillId="2" borderId="9" xfId="279" applyFont="1" applyBorder="1" applyAlignment="1">
      <alignment horizontal="left"/>
    </xf>
    <xf numFmtId="10" fontId="0" fillId="2" borderId="8" xfId="0" applyNumberFormat="1" applyFill="1" applyBorder="1" applyAlignment="1">
      <alignment horizontal="left"/>
    </xf>
    <xf numFmtId="0" fontId="0" fillId="2" borderId="16" xfId="0" applyFill="1" applyBorder="1" applyAlignment="1">
      <alignment horizontal="left"/>
    </xf>
    <xf numFmtId="0" fontId="0" fillId="23" borderId="35" xfId="0" applyFill="1" applyBorder="1" applyAlignment="1">
      <alignment horizontal="left"/>
    </xf>
    <xf numFmtId="0" fontId="0" fillId="23" borderId="36" xfId="0" applyFill="1" applyBorder="1" applyAlignment="1">
      <alignment horizontal="left"/>
    </xf>
    <xf numFmtId="7" fontId="0" fillId="2" borderId="38" xfId="0" applyNumberFormat="1" applyFont="1" applyFill="1" applyBorder="1" applyAlignment="1">
      <alignment horizontal="left"/>
    </xf>
    <xf numFmtId="7" fontId="0" fillId="23" borderId="38" xfId="80" applyFont="1" applyFill="1" applyBorder="1" applyAlignment="1">
      <alignment horizontal="left"/>
    </xf>
    <xf numFmtId="7" fontId="0" fillId="23" borderId="39" xfId="80" applyFont="1" applyFill="1" applyBorder="1" applyAlignment="1">
      <alignment horizontal="left"/>
    </xf>
    <xf numFmtId="7" fontId="0" fillId="2" borderId="39" xfId="0" applyNumberFormat="1" applyFont="1" applyFill="1" applyBorder="1" applyAlignment="1">
      <alignment horizontal="left"/>
    </xf>
    <xf numFmtId="0" fontId="0" fillId="23" borderId="40" xfId="0" applyFill="1" applyBorder="1" applyAlignment="1">
      <alignment horizontal="center"/>
    </xf>
    <xf numFmtId="0" fontId="0" fillId="23" borderId="41" xfId="0" applyFill="1" applyBorder="1" applyAlignment="1">
      <alignment horizontal="center"/>
    </xf>
    <xf numFmtId="0" fontId="0" fillId="2" borderId="32" xfId="0" applyFill="1" applyBorder="1" applyAlignment="1">
      <alignment horizontal="center"/>
    </xf>
    <xf numFmtId="0" fontId="0" fillId="26" borderId="42" xfId="0" applyFill="1" applyBorder="1" applyAlignment="1">
      <alignment/>
    </xf>
    <xf numFmtId="0" fontId="0" fillId="26" borderId="34" xfId="0" applyFill="1" applyBorder="1" applyAlignment="1">
      <alignment horizontal="left"/>
    </xf>
    <xf numFmtId="7" fontId="0" fillId="23" borderId="43" xfId="0" applyNumberFormat="1" applyFill="1" applyBorder="1" applyAlignment="1">
      <alignment horizontal="left"/>
    </xf>
    <xf numFmtId="7" fontId="0" fillId="2" borderId="43" xfId="80" applyFont="1" applyBorder="1" applyAlignment="1">
      <alignment horizontal="left"/>
    </xf>
    <xf numFmtId="7" fontId="0" fillId="23" borderId="9" xfId="0" applyNumberFormat="1" applyFill="1" applyBorder="1" applyAlignment="1">
      <alignment horizontal="left"/>
    </xf>
    <xf numFmtId="7" fontId="0" fillId="23" borderId="38" xfId="0" applyNumberFormat="1" applyFill="1" applyBorder="1" applyAlignment="1">
      <alignment horizontal="left"/>
    </xf>
    <xf numFmtId="7" fontId="0" fillId="2" borderId="38" xfId="80" applyFont="1" applyBorder="1" applyAlignment="1">
      <alignment horizontal="left"/>
    </xf>
    <xf numFmtId="7" fontId="0" fillId="23" borderId="39" xfId="0" applyNumberFormat="1" applyFill="1" applyBorder="1" applyAlignment="1">
      <alignment horizontal="left"/>
    </xf>
    <xf numFmtId="7" fontId="0" fillId="2" borderId="39" xfId="80" applyFont="1" applyBorder="1" applyAlignment="1">
      <alignment horizontal="left"/>
    </xf>
    <xf numFmtId="7" fontId="0" fillId="23" borderId="12" xfId="0" applyNumberFormat="1" applyFill="1" applyBorder="1" applyAlignment="1">
      <alignment horizontal="left"/>
    </xf>
    <xf numFmtId="0" fontId="0" fillId="23" borderId="9" xfId="0" applyFill="1" applyBorder="1" applyAlignment="1">
      <alignment horizontal="left"/>
    </xf>
    <xf numFmtId="0" fontId="0" fillId="23" borderId="12" xfId="0" applyFill="1" applyBorder="1" applyAlignment="1">
      <alignment horizontal="left"/>
    </xf>
    <xf numFmtId="0" fontId="0" fillId="27" borderId="10" xfId="0" applyFill="1" applyBorder="1" applyAlignment="1">
      <alignment/>
    </xf>
    <xf numFmtId="0" fontId="0" fillId="23" borderId="22" xfId="0" applyFill="1" applyBorder="1" applyAlignment="1">
      <alignment horizontal="center"/>
    </xf>
    <xf numFmtId="0" fontId="0" fillId="23" borderId="44" xfId="0" applyFill="1" applyBorder="1" applyAlignment="1">
      <alignment horizontal="center"/>
    </xf>
    <xf numFmtId="0" fontId="0" fillId="27" borderId="45" xfId="0" applyFill="1" applyBorder="1" applyAlignment="1">
      <alignment/>
    </xf>
    <xf numFmtId="0" fontId="0" fillId="23" borderId="46" xfId="0" applyFill="1" applyBorder="1" applyAlignment="1">
      <alignment horizontal="left"/>
    </xf>
    <xf numFmtId="0" fontId="0" fillId="23" borderId="17" xfId="0" applyFill="1" applyBorder="1" applyAlignment="1">
      <alignment horizontal="center"/>
    </xf>
    <xf numFmtId="0" fontId="0" fillId="23" borderId="38" xfId="0" applyFill="1" applyBorder="1" applyAlignment="1">
      <alignment horizontal="left"/>
    </xf>
    <xf numFmtId="0" fontId="0" fillId="23" borderId="39" xfId="0" applyFill="1" applyBorder="1" applyAlignment="1">
      <alignment horizontal="left"/>
    </xf>
    <xf numFmtId="7" fontId="0" fillId="2" borderId="9" xfId="80" applyFont="1" applyBorder="1" applyAlignment="1">
      <alignment horizontal="left"/>
    </xf>
    <xf numFmtId="7" fontId="0" fillId="2" borderId="9" xfId="80" applyFont="1" applyBorder="1" applyAlignment="1">
      <alignment horizontal="left"/>
    </xf>
    <xf numFmtId="7" fontId="0" fillId="2" borderId="9" xfId="80" applyFont="1" applyBorder="1" applyAlignment="1">
      <alignment horizontal="left"/>
    </xf>
    <xf numFmtId="171" fontId="0" fillId="2" borderId="9" xfId="0" applyNumberFormat="1" applyFill="1" applyBorder="1" applyAlignment="1">
      <alignment horizontal="left"/>
    </xf>
    <xf numFmtId="0" fontId="0" fillId="2" borderId="22" xfId="0" applyFill="1" applyBorder="1" applyAlignment="1">
      <alignment horizontal="left"/>
    </xf>
    <xf numFmtId="0" fontId="0" fillId="2" borderId="40" xfId="0" applyFill="1" applyBorder="1" applyAlignment="1">
      <alignment horizontal="left"/>
    </xf>
    <xf numFmtId="0" fontId="0" fillId="2" borderId="41" xfId="0" applyFill="1" applyBorder="1" applyAlignment="1">
      <alignment horizontal="left"/>
    </xf>
    <xf numFmtId="5" fontId="0" fillId="2" borderId="38" xfId="80" applyNumberFormat="1" applyFont="1" applyBorder="1" applyAlignment="1">
      <alignment horizontal="left"/>
    </xf>
    <xf numFmtId="5" fontId="0" fillId="2" borderId="38" xfId="80" applyNumberFormat="1" applyFont="1" applyBorder="1" applyAlignment="1">
      <alignment horizontal="left"/>
    </xf>
    <xf numFmtId="5" fontId="0" fillId="2" borderId="38" xfId="80" applyNumberFormat="1" applyFont="1" applyBorder="1" applyAlignment="1">
      <alignment horizontal="left"/>
    </xf>
    <xf numFmtId="170" fontId="0" fillId="2" borderId="38" xfId="0" applyNumberFormat="1" applyFill="1" applyBorder="1" applyAlignment="1">
      <alignment horizontal="left"/>
    </xf>
    <xf numFmtId="170" fontId="0" fillId="2" borderId="39" xfId="0" applyNumberFormat="1" applyFill="1" applyBorder="1" applyAlignment="1">
      <alignment horizontal="left"/>
    </xf>
    <xf numFmtId="7" fontId="0" fillId="2" borderId="47" xfId="0" applyNumberFormat="1" applyFont="1" applyFill="1" applyBorder="1" applyAlignment="1">
      <alignment horizontal="left"/>
    </xf>
    <xf numFmtId="7" fontId="0" fillId="2" borderId="48" xfId="0" applyNumberFormat="1" applyFill="1" applyBorder="1" applyAlignment="1">
      <alignment horizontal="center"/>
    </xf>
    <xf numFmtId="0" fontId="0" fillId="2" borderId="48" xfId="0" applyFill="1" applyBorder="1" applyAlignment="1">
      <alignment horizontal="center"/>
    </xf>
    <xf numFmtId="0" fontId="0" fillId="23" borderId="49" xfId="0" applyFill="1" applyBorder="1" applyAlignment="1">
      <alignment horizontal="center"/>
    </xf>
    <xf numFmtId="0" fontId="0" fillId="23" borderId="41" xfId="0" applyFont="1" applyFill="1" applyBorder="1" applyAlignment="1">
      <alignment horizontal="center"/>
    </xf>
    <xf numFmtId="0" fontId="0" fillId="23" borderId="33" xfId="0" applyFont="1" applyFill="1" applyBorder="1" applyAlignment="1">
      <alignment horizontal="center"/>
    </xf>
    <xf numFmtId="0" fontId="0" fillId="23" borderId="9" xfId="0" applyFill="1" applyBorder="1" applyAlignment="1">
      <alignment horizontal="center"/>
    </xf>
    <xf numFmtId="7" fontId="0" fillId="26" borderId="9" xfId="80" applyFont="1" applyFill="1" applyBorder="1" applyAlignment="1">
      <alignment/>
    </xf>
    <xf numFmtId="5" fontId="0" fillId="26" borderId="9" xfId="80" applyNumberFormat="1" applyFont="1" applyFill="1" applyBorder="1" applyAlignment="1">
      <alignment/>
    </xf>
    <xf numFmtId="0" fontId="0" fillId="23" borderId="33" xfId="0" applyFill="1" applyBorder="1" applyAlignment="1">
      <alignment horizontal="center" vertical="top"/>
    </xf>
    <xf numFmtId="0" fontId="0" fillId="23" borderId="41" xfId="0" applyFill="1" applyBorder="1" applyAlignment="1">
      <alignment horizontal="center" vertical="top"/>
    </xf>
    <xf numFmtId="0" fontId="0" fillId="2" borderId="9" xfId="0" applyFill="1" applyBorder="1" applyAlignment="1">
      <alignment horizontal="center"/>
    </xf>
    <xf numFmtId="4" fontId="0" fillId="23" borderId="9" xfId="0" applyNumberFormat="1" applyFill="1" applyBorder="1" applyAlignment="1">
      <alignment horizontal="center"/>
    </xf>
    <xf numFmtId="4" fontId="0" fillId="23" borderId="12" xfId="0" applyNumberFormat="1" applyFill="1" applyBorder="1" applyAlignment="1">
      <alignment horizontal="center"/>
    </xf>
    <xf numFmtId="0" fontId="0" fillId="27" borderId="40" xfId="0" applyFill="1" applyBorder="1" applyAlignment="1">
      <alignment horizontal="center" vertical="top"/>
    </xf>
    <xf numFmtId="0" fontId="0" fillId="2" borderId="35" xfId="0" applyFill="1" applyBorder="1" applyAlignment="1">
      <alignment horizontal="center"/>
    </xf>
    <xf numFmtId="0" fontId="0" fillId="23" borderId="35" xfId="0" applyFill="1" applyBorder="1" applyAlignment="1">
      <alignment horizontal="center"/>
    </xf>
    <xf numFmtId="0" fontId="0" fillId="23" borderId="36" xfId="0" applyFill="1" applyBorder="1" applyAlignment="1">
      <alignment horizontal="center"/>
    </xf>
    <xf numFmtId="0" fontId="0" fillId="23" borderId="41" xfId="0" applyFont="1" applyFill="1" applyBorder="1" applyAlignment="1">
      <alignment horizontal="center" vertical="top"/>
    </xf>
    <xf numFmtId="0" fontId="0" fillId="23" borderId="38" xfId="0" applyFill="1" applyBorder="1" applyAlignment="1">
      <alignment horizontal="center"/>
    </xf>
    <xf numFmtId="0" fontId="0" fillId="23" borderId="39" xfId="0" applyFill="1" applyBorder="1" applyAlignment="1">
      <alignment horizontal="center"/>
    </xf>
    <xf numFmtId="0" fontId="0" fillId="26" borderId="17" xfId="0" applyFill="1" applyBorder="1" applyAlignment="1">
      <alignment horizontal="center"/>
    </xf>
    <xf numFmtId="0" fontId="0" fillId="26" borderId="34" xfId="0" applyFill="1" applyBorder="1" applyAlignment="1">
      <alignment horizontal="center"/>
    </xf>
    <xf numFmtId="0" fontId="0" fillId="26" borderId="42" xfId="0" applyFill="1" applyBorder="1" applyAlignment="1">
      <alignment horizontal="center"/>
    </xf>
    <xf numFmtId="7" fontId="0" fillId="2" borderId="50" xfId="80" applyFont="1" applyBorder="1" applyAlignment="1">
      <alignment/>
    </xf>
    <xf numFmtId="7" fontId="8" fillId="2" borderId="32" xfId="0" applyNumberFormat="1" applyFont="1" applyFill="1" applyBorder="1" applyAlignment="1">
      <alignment/>
    </xf>
    <xf numFmtId="7" fontId="0" fillId="2" borderId="28" xfId="80" applyFont="1" applyBorder="1" applyAlignment="1">
      <alignment/>
    </xf>
    <xf numFmtId="171" fontId="0" fillId="2" borderId="51" xfId="0" applyNumberFormat="1" applyFill="1" applyBorder="1" applyAlignment="1">
      <alignment/>
    </xf>
    <xf numFmtId="7" fontId="0" fillId="2" borderId="29" xfId="80" applyFont="1" applyBorder="1" applyAlignment="1">
      <alignment/>
    </xf>
    <xf numFmtId="0" fontId="0" fillId="23" borderId="11" xfId="0" applyFill="1" applyBorder="1" applyAlignment="1">
      <alignment vertical="center"/>
    </xf>
    <xf numFmtId="0" fontId="0" fillId="23" borderId="52" xfId="0" applyFill="1" applyBorder="1" applyAlignment="1">
      <alignment vertical="center"/>
    </xf>
    <xf numFmtId="0" fontId="0" fillId="23" borderId="31" xfId="0" applyFill="1" applyBorder="1" applyAlignment="1">
      <alignment vertical="center"/>
    </xf>
    <xf numFmtId="0" fontId="0" fillId="26" borderId="14" xfId="0" applyFill="1" applyBorder="1" applyAlignment="1">
      <alignment/>
    </xf>
    <xf numFmtId="0" fontId="0" fillId="23" borderId="37" xfId="0" applyFill="1" applyBorder="1" applyAlignment="1">
      <alignment horizontal="center"/>
    </xf>
    <xf numFmtId="1" fontId="0" fillId="23" borderId="37" xfId="0" applyNumberFormat="1" applyFont="1" applyFill="1" applyBorder="1" applyAlignment="1">
      <alignment horizontal="center" vertical="top"/>
    </xf>
    <xf numFmtId="1" fontId="0" fillId="23" borderId="35" xfId="0" applyNumberFormat="1" applyFont="1" applyFill="1" applyBorder="1" applyAlignment="1">
      <alignment horizontal="center" vertical="top"/>
    </xf>
    <xf numFmtId="1" fontId="0" fillId="23" borderId="36" xfId="0" applyNumberFormat="1" applyFont="1" applyFill="1" applyBorder="1" applyAlignment="1">
      <alignment horizontal="center" vertical="top"/>
    </xf>
    <xf numFmtId="2" fontId="0" fillId="23" borderId="9" xfId="0" applyNumberFormat="1" applyFont="1" applyFill="1" applyBorder="1" applyAlignment="1">
      <alignment horizontal="center" vertical="top"/>
    </xf>
    <xf numFmtId="2" fontId="0" fillId="23" borderId="12" xfId="0" applyNumberFormat="1" applyFont="1" applyFill="1" applyBorder="1" applyAlignment="1">
      <alignment horizontal="center" vertical="top"/>
    </xf>
    <xf numFmtId="2" fontId="0" fillId="2" borderId="9" xfId="0" applyNumberFormat="1" applyFill="1" applyBorder="1" applyAlignment="1">
      <alignment horizontal="center"/>
    </xf>
    <xf numFmtId="2" fontId="0" fillId="2" borderId="8" xfId="0" applyNumberFormat="1" applyFill="1" applyBorder="1" applyAlignment="1">
      <alignment horizontal="center"/>
    </xf>
    <xf numFmtId="2" fontId="0" fillId="23" borderId="9" xfId="0" applyNumberFormat="1" applyFill="1" applyBorder="1" applyAlignment="1">
      <alignment horizontal="center"/>
    </xf>
    <xf numFmtId="2" fontId="0" fillId="2" borderId="12" xfId="0" applyNumberFormat="1" applyFill="1" applyBorder="1" applyAlignment="1">
      <alignment horizontal="center"/>
    </xf>
    <xf numFmtId="0" fontId="0" fillId="23" borderId="12" xfId="0" applyFill="1" applyBorder="1" applyAlignment="1">
      <alignment horizontal="center"/>
    </xf>
    <xf numFmtId="0" fontId="0" fillId="23" borderId="53" xfId="0" applyFill="1" applyBorder="1" applyAlignment="1">
      <alignment horizontal="center"/>
    </xf>
    <xf numFmtId="0" fontId="0" fillId="23" borderId="46" xfId="0" applyFill="1" applyBorder="1" applyAlignment="1">
      <alignment horizontal="center"/>
    </xf>
    <xf numFmtId="0" fontId="0" fillId="23" borderId="33" xfId="0" applyFill="1" applyBorder="1" applyAlignment="1">
      <alignment horizontal="center"/>
    </xf>
    <xf numFmtId="2" fontId="0" fillId="23" borderId="37" xfId="0" applyNumberFormat="1" applyFill="1" applyBorder="1" applyAlignment="1">
      <alignment horizontal="center"/>
    </xf>
    <xf numFmtId="2" fontId="0" fillId="23" borderId="35" xfId="0" applyNumberFormat="1" applyFont="1" applyFill="1" applyBorder="1" applyAlignment="1">
      <alignment horizontal="center" vertical="top"/>
    </xf>
    <xf numFmtId="2" fontId="0" fillId="23" borderId="36" xfId="0" applyNumberFormat="1" applyFont="1" applyFill="1" applyBorder="1" applyAlignment="1">
      <alignment horizontal="center" vertical="top"/>
    </xf>
    <xf numFmtId="2" fontId="0" fillId="23" borderId="54" xfId="0" applyNumberFormat="1" applyFill="1" applyBorder="1" applyAlignment="1">
      <alignment horizontal="center"/>
    </xf>
    <xf numFmtId="2" fontId="0" fillId="23" borderId="38" xfId="0" applyNumberFormat="1" applyFont="1" applyFill="1" applyBorder="1" applyAlignment="1">
      <alignment horizontal="center" vertical="top"/>
    </xf>
    <xf numFmtId="2" fontId="0" fillId="0" borderId="38" xfId="0" applyNumberFormat="1" applyFont="1" applyBorder="1" applyAlignment="1">
      <alignment horizontal="center" vertical="top"/>
    </xf>
    <xf numFmtId="2" fontId="0" fillId="23" borderId="39" xfId="0" applyNumberFormat="1" applyFont="1" applyFill="1" applyBorder="1" applyAlignment="1">
      <alignment horizontal="center" vertical="top"/>
    </xf>
    <xf numFmtId="0" fontId="3" fillId="23" borderId="11" xfId="0" applyFont="1" applyFill="1" applyBorder="1" applyAlignment="1">
      <alignment/>
    </xf>
    <xf numFmtId="0" fontId="3" fillId="23" borderId="8" xfId="0" applyFont="1" applyFill="1" applyBorder="1" applyAlignment="1">
      <alignment/>
    </xf>
    <xf numFmtId="0" fontId="0" fillId="23" borderId="14" xfId="0" applyFont="1" applyFill="1" applyBorder="1" applyAlignment="1">
      <alignment horizontal="center" vertical="top"/>
    </xf>
    <xf numFmtId="0" fontId="0" fillId="23" borderId="9" xfId="0" applyFont="1" applyFill="1" applyBorder="1" applyAlignment="1">
      <alignment horizontal="center" vertical="top"/>
    </xf>
    <xf numFmtId="0" fontId="0" fillId="23" borderId="12" xfId="0" applyFont="1" applyFill="1" applyBorder="1" applyAlignment="1">
      <alignment horizontal="center" vertical="top"/>
    </xf>
    <xf numFmtId="0" fontId="0" fillId="23" borderId="37" xfId="0" applyFont="1" applyFill="1" applyBorder="1" applyAlignment="1">
      <alignment horizontal="center" vertical="top"/>
    </xf>
    <xf numFmtId="0" fontId="0" fillId="23" borderId="35" xfId="0" applyFont="1" applyFill="1" applyBorder="1" applyAlignment="1">
      <alignment horizontal="center" vertical="top"/>
    </xf>
    <xf numFmtId="0" fontId="0" fillId="23" borderId="36" xfId="0" applyFont="1" applyFill="1" applyBorder="1" applyAlignment="1">
      <alignment horizontal="center" vertical="top"/>
    </xf>
    <xf numFmtId="0" fontId="0" fillId="23" borderId="54" xfId="0" applyFont="1" applyFill="1" applyBorder="1" applyAlignment="1">
      <alignment horizontal="center" vertical="top"/>
    </xf>
    <xf numFmtId="0" fontId="0" fillId="23" borderId="38" xfId="0" applyFont="1" applyFill="1" applyBorder="1" applyAlignment="1">
      <alignment horizontal="center" vertical="top"/>
    </xf>
    <xf numFmtId="0" fontId="0" fillId="0" borderId="38" xfId="0" applyFont="1" applyBorder="1" applyAlignment="1">
      <alignment horizontal="center" vertical="top"/>
    </xf>
    <xf numFmtId="0" fontId="0" fillId="23" borderId="39" xfId="0" applyFont="1" applyFill="1" applyBorder="1" applyAlignment="1">
      <alignment horizontal="center" vertical="top"/>
    </xf>
    <xf numFmtId="3" fontId="2" fillId="2" borderId="7" xfId="0" applyNumberFormat="1" applyFont="1" applyFill="1" applyBorder="1" applyAlignment="1">
      <alignment/>
    </xf>
    <xf numFmtId="3" fontId="5" fillId="2" borderId="14" xfId="0" applyNumberFormat="1" applyFont="1" applyFill="1" applyBorder="1" applyAlignment="1">
      <alignment/>
    </xf>
    <xf numFmtId="10" fontId="3" fillId="2" borderId="55" xfId="0" applyNumberFormat="1" applyFont="1" applyFill="1" applyBorder="1" applyAlignment="1">
      <alignment horizontal="center"/>
    </xf>
    <xf numFmtId="10" fontId="3" fillId="2" borderId="56" xfId="0" applyNumberFormat="1" applyFont="1" applyFill="1" applyBorder="1" applyAlignment="1">
      <alignment horizontal="center"/>
    </xf>
    <xf numFmtId="0" fontId="0" fillId="2" borderId="19" xfId="0" applyFont="1" applyFill="1" applyBorder="1" applyAlignment="1">
      <alignment/>
    </xf>
    <xf numFmtId="0" fontId="0" fillId="2" borderId="57" xfId="0" applyFill="1" applyBorder="1" applyAlignment="1">
      <alignment/>
    </xf>
    <xf numFmtId="0" fontId="0" fillId="26" borderId="50" xfId="0" applyFill="1" applyBorder="1" applyAlignment="1">
      <alignment/>
    </xf>
    <xf numFmtId="0" fontId="0" fillId="26" borderId="58" xfId="0" applyFill="1" applyBorder="1" applyAlignment="1">
      <alignment horizontal="center" vertical="top"/>
    </xf>
    <xf numFmtId="0" fontId="12" fillId="2" borderId="0" xfId="0" applyFont="1" applyFill="1" applyBorder="1" applyAlignment="1">
      <alignment vertical="top"/>
    </xf>
    <xf numFmtId="0" fontId="12" fillId="2" borderId="8" xfId="0" applyFont="1" applyFill="1" applyBorder="1" applyAlignment="1">
      <alignment vertical="top"/>
    </xf>
    <xf numFmtId="171" fontId="3" fillId="2" borderId="59" xfId="0" applyNumberFormat="1" applyFont="1" applyFill="1" applyBorder="1" applyAlignment="1" applyProtection="1">
      <alignment horizontal="center"/>
      <protection locked="0"/>
    </xf>
    <xf numFmtId="0" fontId="0" fillId="23" borderId="55" xfId="0" applyFill="1" applyBorder="1" applyAlignment="1">
      <alignment horizontal="center"/>
    </xf>
    <xf numFmtId="0" fontId="0" fillId="2" borderId="60" xfId="0" applyFont="1" applyFill="1" applyBorder="1" applyAlignment="1">
      <alignment horizontal="center"/>
    </xf>
    <xf numFmtId="0" fontId="3" fillId="2" borderId="9" xfId="0" applyFont="1" applyFill="1" applyBorder="1" applyAlignment="1">
      <alignment horizontal="center"/>
    </xf>
    <xf numFmtId="0" fontId="0" fillId="2" borderId="12" xfId="0" applyFill="1" applyBorder="1" applyAlignment="1">
      <alignment horizontal="center"/>
    </xf>
    <xf numFmtId="0" fontId="0" fillId="2" borderId="36" xfId="0" applyFill="1" applyBorder="1" applyAlignment="1">
      <alignment horizontal="center"/>
    </xf>
    <xf numFmtId="5" fontId="0" fillId="2" borderId="9" xfId="80" applyNumberFormat="1" applyFont="1" applyBorder="1" applyAlignment="1">
      <alignment horizontal="center"/>
    </xf>
    <xf numFmtId="5" fontId="0" fillId="2" borderId="12" xfId="80" applyNumberFormat="1" applyFont="1" applyBorder="1" applyAlignment="1">
      <alignment horizontal="center"/>
    </xf>
    <xf numFmtId="7" fontId="3" fillId="23" borderId="61" xfId="0" applyNumberFormat="1" applyFont="1" applyFill="1" applyBorder="1" applyAlignment="1">
      <alignment horizontal="center"/>
    </xf>
    <xf numFmtId="7" fontId="0" fillId="23" borderId="9" xfId="0" applyNumberFormat="1" applyFill="1" applyBorder="1" applyAlignment="1">
      <alignment horizontal="center"/>
    </xf>
    <xf numFmtId="7" fontId="0" fillId="23" borderId="12" xfId="0" applyNumberFormat="1" applyFill="1" applyBorder="1" applyAlignment="1">
      <alignment horizontal="center"/>
    </xf>
    <xf numFmtId="9" fontId="0" fillId="2" borderId="9" xfId="0" applyNumberFormat="1" applyFill="1" applyBorder="1" applyAlignment="1">
      <alignment horizontal="center"/>
    </xf>
    <xf numFmtId="9" fontId="0" fillId="2" borderId="12" xfId="0" applyNumberFormat="1" applyFill="1" applyBorder="1" applyAlignment="1">
      <alignment horizontal="center"/>
    </xf>
    <xf numFmtId="0" fontId="0" fillId="23" borderId="16" xfId="0" applyFill="1" applyBorder="1" applyAlignment="1">
      <alignment horizontal="center"/>
    </xf>
    <xf numFmtId="7" fontId="0" fillId="2" borderId="9" xfId="0" applyNumberFormat="1" applyFill="1" applyBorder="1" applyAlignment="1">
      <alignment horizontal="center"/>
    </xf>
    <xf numFmtId="7" fontId="0" fillId="2" borderId="8" xfId="0" applyNumberFormat="1" applyFill="1" applyBorder="1" applyAlignment="1">
      <alignment horizontal="center"/>
    </xf>
    <xf numFmtId="7" fontId="0" fillId="2" borderId="62" xfId="0" applyNumberFormat="1" applyFill="1" applyBorder="1" applyAlignment="1">
      <alignment horizontal="center"/>
    </xf>
    <xf numFmtId="7" fontId="0" fillId="23" borderId="62" xfId="0" applyNumberFormat="1" applyFill="1" applyBorder="1" applyAlignment="1">
      <alignment horizontal="center"/>
    </xf>
    <xf numFmtId="7" fontId="0" fillId="23" borderId="62" xfId="80" applyFont="1" applyFill="1" applyBorder="1" applyAlignment="1">
      <alignment horizontal="center"/>
    </xf>
    <xf numFmtId="7" fontId="0" fillId="23" borderId="63" xfId="80" applyFont="1" applyFill="1" applyBorder="1" applyAlignment="1">
      <alignment horizontal="center"/>
    </xf>
    <xf numFmtId="7" fontId="0" fillId="2" borderId="38" xfId="0" applyNumberFormat="1" applyFill="1" applyBorder="1" applyAlignment="1">
      <alignment horizontal="center"/>
    </xf>
    <xf numFmtId="7" fontId="0" fillId="2" borderId="39" xfId="0" applyNumberFormat="1" applyFill="1" applyBorder="1" applyAlignment="1">
      <alignment horizontal="center"/>
    </xf>
    <xf numFmtId="7" fontId="0" fillId="23" borderId="63" xfId="0" applyNumberFormat="1" applyFill="1" applyBorder="1" applyAlignment="1">
      <alignment horizontal="center"/>
    </xf>
    <xf numFmtId="0" fontId="0" fillId="23" borderId="58" xfId="0" applyFill="1" applyBorder="1" applyAlignment="1">
      <alignment horizontal="center"/>
    </xf>
    <xf numFmtId="0" fontId="0" fillId="23" borderId="50" xfId="0" applyFill="1" applyBorder="1" applyAlignment="1">
      <alignment horizontal="center"/>
    </xf>
    <xf numFmtId="0" fontId="0" fillId="26" borderId="58" xfId="0" applyFill="1" applyBorder="1" applyAlignment="1">
      <alignment horizontal="center"/>
    </xf>
    <xf numFmtId="0" fontId="3" fillId="28" borderId="59" xfId="0" applyFont="1" applyFill="1" applyBorder="1" applyAlignment="1">
      <alignment/>
    </xf>
    <xf numFmtId="0" fontId="0" fillId="26" borderId="13" xfId="0" applyFill="1" applyBorder="1" applyAlignment="1">
      <alignment/>
    </xf>
    <xf numFmtId="0" fontId="0" fillId="23" borderId="59" xfId="0" applyFill="1" applyBorder="1" applyAlignment="1">
      <alignment horizontal="center" vertical="center"/>
    </xf>
    <xf numFmtId="0" fontId="0" fillId="23" borderId="58" xfId="0" applyFill="1" applyBorder="1" applyAlignment="1">
      <alignment horizontal="center" vertical="center"/>
    </xf>
    <xf numFmtId="0" fontId="0" fillId="23" borderId="50" xfId="0" applyFill="1" applyBorder="1" applyAlignment="1">
      <alignment horizontal="center" vertical="center"/>
    </xf>
    <xf numFmtId="7" fontId="0" fillId="23" borderId="35" xfId="0" applyNumberFormat="1" applyFill="1" applyBorder="1" applyAlignment="1">
      <alignment horizontal="center"/>
    </xf>
    <xf numFmtId="7" fontId="0" fillId="23" borderId="36" xfId="0" applyNumberFormat="1" applyFill="1" applyBorder="1" applyAlignment="1">
      <alignment horizontal="center"/>
    </xf>
    <xf numFmtId="7" fontId="0" fillId="2" borderId="35" xfId="0" applyNumberFormat="1" applyFill="1" applyBorder="1" applyAlignment="1">
      <alignment horizontal="center"/>
    </xf>
    <xf numFmtId="0" fontId="0" fillId="23" borderId="15" xfId="0" applyFill="1" applyBorder="1" applyAlignment="1">
      <alignment horizontal="center"/>
    </xf>
    <xf numFmtId="0" fontId="0" fillId="2" borderId="64" xfId="0" applyFill="1" applyBorder="1" applyAlignment="1">
      <alignment horizontal="center"/>
    </xf>
    <xf numFmtId="0" fontId="0" fillId="27" borderId="59" xfId="0" applyFill="1" applyBorder="1" applyAlignment="1">
      <alignment horizontal="center"/>
    </xf>
    <xf numFmtId="0" fontId="0" fillId="27" borderId="58" xfId="0" applyFill="1" applyBorder="1" applyAlignment="1">
      <alignment horizontal="center" vertical="center"/>
    </xf>
    <xf numFmtId="0" fontId="9" fillId="23" borderId="20" xfId="0" applyFont="1" applyFill="1" applyBorder="1" applyAlignment="1">
      <alignment horizontal="center"/>
    </xf>
    <xf numFmtId="10" fontId="0" fillId="2" borderId="0" xfId="0" applyNumberFormat="1" applyFill="1" applyBorder="1" applyAlignment="1">
      <alignment horizontal="center"/>
    </xf>
    <xf numFmtId="171" fontId="0" fillId="2" borderId="65" xfId="0" applyNumberFormat="1" applyFill="1" applyBorder="1" applyAlignment="1">
      <alignment horizontal="left"/>
    </xf>
    <xf numFmtId="0" fontId="23" fillId="2" borderId="0" xfId="0" applyFont="1" applyFill="1" applyAlignment="1">
      <alignment/>
    </xf>
    <xf numFmtId="0" fontId="23" fillId="2" borderId="0" xfId="0" applyFont="1" applyFill="1" applyBorder="1" applyAlignment="1">
      <alignment/>
    </xf>
    <xf numFmtId="171" fontId="0" fillId="2" borderId="66" xfId="0" applyNumberFormat="1" applyFill="1" applyBorder="1" applyAlignment="1">
      <alignment horizontal="left"/>
    </xf>
    <xf numFmtId="0" fontId="0" fillId="2" borderId="36" xfId="0" applyNumberFormat="1" applyFill="1" applyBorder="1" applyAlignment="1">
      <alignment horizontal="left"/>
    </xf>
    <xf numFmtId="0" fontId="23" fillId="0" borderId="12" xfId="0" applyFont="1" applyFill="1" applyBorder="1" applyAlignment="1">
      <alignment horizontal="center"/>
    </xf>
    <xf numFmtId="0" fontId="82" fillId="0" borderId="0" xfId="0" applyFont="1" applyAlignment="1">
      <alignment/>
    </xf>
    <xf numFmtId="49" fontId="0" fillId="0" borderId="0" xfId="0" applyNumberFormat="1" applyAlignment="1">
      <alignment/>
    </xf>
    <xf numFmtId="10" fontId="0" fillId="2" borderId="9" xfId="0" applyNumberFormat="1" applyFill="1" applyBorder="1" applyAlignment="1" applyProtection="1">
      <alignment/>
      <protection/>
    </xf>
    <xf numFmtId="10" fontId="0" fillId="2" borderId="12" xfId="279" applyNumberFormat="1" applyFont="1" applyFill="1" applyBorder="1" applyAlignment="1" applyProtection="1">
      <alignment/>
      <protection/>
    </xf>
    <xf numFmtId="0" fontId="0" fillId="0" borderId="0" xfId="0" applyFont="1" applyAlignment="1">
      <alignment horizontal="center"/>
    </xf>
    <xf numFmtId="0" fontId="3" fillId="0" borderId="0" xfId="0" applyFont="1" applyAlignment="1">
      <alignment horizontal="center"/>
    </xf>
    <xf numFmtId="4" fontId="4" fillId="0" borderId="0" xfId="0" applyNumberFormat="1" applyFont="1" applyAlignment="1">
      <alignment/>
    </xf>
    <xf numFmtId="0" fontId="4" fillId="0" borderId="0" xfId="0" applyFont="1" applyAlignment="1">
      <alignment/>
    </xf>
    <xf numFmtId="4" fontId="4" fillId="2" borderId="0" xfId="42" applyFont="1" applyAlignment="1">
      <alignment horizontal="center"/>
    </xf>
    <xf numFmtId="184" fontId="0" fillId="0" borderId="0" xfId="0" applyNumberFormat="1" applyAlignment="1">
      <alignment/>
    </xf>
    <xf numFmtId="0" fontId="3" fillId="0" borderId="0" xfId="0" applyFont="1" applyAlignment="1">
      <alignment/>
    </xf>
    <xf numFmtId="4" fontId="4" fillId="2" borderId="0" xfId="42" applyFont="1" applyAlignment="1">
      <alignment/>
    </xf>
    <xf numFmtId="0" fontId="0" fillId="0" borderId="0" xfId="0" applyFont="1" applyAlignment="1">
      <alignment/>
    </xf>
    <xf numFmtId="10" fontId="0" fillId="0" borderId="0" xfId="279" applyFont="1" applyFill="1" applyAlignment="1">
      <alignment/>
    </xf>
    <xf numFmtId="184" fontId="0" fillId="0" borderId="0" xfId="279" applyNumberFormat="1" applyFont="1" applyFill="1" applyAlignment="1">
      <alignment/>
    </xf>
    <xf numFmtId="49" fontId="0" fillId="2" borderId="0" xfId="0" applyNumberFormat="1" applyFont="1" applyFill="1" applyAlignment="1">
      <alignment/>
    </xf>
    <xf numFmtId="49" fontId="0" fillId="2" borderId="0" xfId="0" applyNumberFormat="1" applyFont="1" applyFill="1" applyAlignment="1">
      <alignment/>
    </xf>
    <xf numFmtId="188" fontId="0" fillId="2" borderId="29" xfId="0" applyNumberFormat="1" applyFont="1" applyFill="1" applyBorder="1" applyAlignment="1">
      <alignment horizontal="center"/>
    </xf>
    <xf numFmtId="0" fontId="0" fillId="29" borderId="59" xfId="0" applyFill="1" applyBorder="1" applyAlignment="1">
      <alignment horizontal="center"/>
    </xf>
    <xf numFmtId="10" fontId="0" fillId="30" borderId="59" xfId="279" applyNumberFormat="1" applyFont="1" applyFill="1" applyBorder="1" applyAlignment="1">
      <alignment/>
    </xf>
    <xf numFmtId="0" fontId="0" fillId="24" borderId="17" xfId="0" applyFill="1" applyBorder="1" applyAlignment="1">
      <alignment horizontal="center"/>
    </xf>
    <xf numFmtId="0" fontId="0" fillId="24" borderId="17" xfId="0" applyFont="1" applyFill="1" applyBorder="1" applyAlignment="1">
      <alignment horizontal="center"/>
    </xf>
    <xf numFmtId="9" fontId="0" fillId="24" borderId="17" xfId="0" applyNumberFormat="1" applyFill="1" applyBorder="1" applyAlignment="1">
      <alignment horizontal="center"/>
    </xf>
    <xf numFmtId="10" fontId="0" fillId="24" borderId="58" xfId="279" applyNumberFormat="1" applyFont="1" applyFill="1" applyBorder="1" applyAlignment="1">
      <alignment horizontal="center"/>
    </xf>
    <xf numFmtId="14" fontId="0" fillId="24" borderId="17" xfId="0" applyNumberFormat="1" applyFill="1" applyBorder="1" applyAlignment="1">
      <alignment horizontal="center"/>
    </xf>
    <xf numFmtId="0" fontId="0" fillId="0" borderId="13" xfId="0" applyBorder="1" applyAlignment="1">
      <alignment/>
    </xf>
    <xf numFmtId="0" fontId="3" fillId="0" borderId="7" xfId="0" applyFont="1" applyBorder="1" applyAlignment="1">
      <alignment/>
    </xf>
    <xf numFmtId="0" fontId="3" fillId="2" borderId="14" xfId="0" applyFont="1" applyFill="1" applyBorder="1" applyAlignment="1">
      <alignment/>
    </xf>
    <xf numFmtId="0" fontId="82" fillId="0" borderId="11" xfId="0" applyFont="1" applyFill="1" applyBorder="1" applyAlignment="1">
      <alignment/>
    </xf>
    <xf numFmtId="10" fontId="0" fillId="0" borderId="8" xfId="279" applyFont="1" applyFill="1" applyBorder="1" applyAlignment="1">
      <alignment/>
    </xf>
    <xf numFmtId="10" fontId="0" fillId="2" borderId="12" xfId="279" applyFont="1" applyFill="1" applyBorder="1" applyAlignment="1">
      <alignment/>
    </xf>
    <xf numFmtId="10" fontId="0" fillId="30" borderId="0" xfId="279" applyNumberFormat="1" applyFont="1" applyFill="1" applyBorder="1" applyAlignment="1">
      <alignment horizontal="center"/>
    </xf>
    <xf numFmtId="0" fontId="0" fillId="2" borderId="0" xfId="0" applyFill="1" applyBorder="1" applyAlignment="1">
      <alignment wrapText="1"/>
    </xf>
    <xf numFmtId="0" fontId="9" fillId="30" borderId="0" xfId="0" applyFont="1" applyFill="1" applyBorder="1" applyAlignment="1">
      <alignment/>
    </xf>
    <xf numFmtId="0" fontId="0" fillId="30" borderId="0" xfId="0" applyFill="1" applyBorder="1" applyAlignment="1">
      <alignment/>
    </xf>
    <xf numFmtId="0" fontId="3" fillId="30" borderId="0" xfId="0" applyFont="1" applyFill="1" applyBorder="1" applyAlignment="1">
      <alignment/>
    </xf>
    <xf numFmtId="0" fontId="37" fillId="30" borderId="0" xfId="259" applyFont="1" applyFill="1" applyBorder="1" applyAlignment="1">
      <alignment/>
      <protection/>
    </xf>
    <xf numFmtId="0" fontId="9" fillId="30" borderId="0" xfId="261" applyFont="1" applyFill="1" applyBorder="1" applyAlignment="1">
      <alignment horizontal="center"/>
      <protection/>
    </xf>
    <xf numFmtId="0" fontId="9" fillId="30" borderId="0" xfId="261" applyFont="1" applyFill="1" applyBorder="1" applyAlignment="1">
      <alignment horizontal="left"/>
      <protection/>
    </xf>
    <xf numFmtId="0" fontId="0" fillId="30" borderId="0" xfId="261" applyFill="1" applyBorder="1" applyAlignment="1">
      <alignment/>
      <protection/>
    </xf>
    <xf numFmtId="14" fontId="0" fillId="2" borderId="29" xfId="0" applyNumberFormat="1" applyFont="1" applyFill="1" applyBorder="1" applyAlignment="1">
      <alignment horizontal="center"/>
    </xf>
    <xf numFmtId="0" fontId="0" fillId="29" borderId="0" xfId="0" applyFill="1" applyBorder="1" applyAlignment="1">
      <alignment horizontal="center"/>
    </xf>
    <xf numFmtId="0" fontId="83" fillId="0" borderId="0" xfId="0" applyFont="1" applyAlignment="1">
      <alignment/>
    </xf>
    <xf numFmtId="4" fontId="0" fillId="2" borderId="17" xfId="42" applyFont="1" applyBorder="1" applyAlignment="1">
      <alignment/>
    </xf>
    <xf numFmtId="0" fontId="3" fillId="0" borderId="31" xfId="0" applyFont="1" applyFill="1" applyBorder="1" applyAlignment="1" applyProtection="1">
      <alignment horizontal="center"/>
      <protection/>
    </xf>
    <xf numFmtId="0" fontId="3" fillId="2" borderId="52" xfId="0" applyFont="1" applyFill="1" applyBorder="1" applyAlignment="1" applyProtection="1">
      <alignment horizontal="center"/>
      <protection/>
    </xf>
    <xf numFmtId="0" fontId="3" fillId="31" borderId="52" xfId="0" applyFont="1" applyFill="1" applyBorder="1" applyAlignment="1" applyProtection="1">
      <alignment horizontal="center"/>
      <protection/>
    </xf>
    <xf numFmtId="0" fontId="3" fillId="31" borderId="67" xfId="0" applyFont="1" applyFill="1" applyBorder="1" applyAlignment="1" applyProtection="1">
      <alignment horizontal="center"/>
      <protection/>
    </xf>
    <xf numFmtId="0" fontId="3" fillId="31" borderId="11" xfId="0" applyFont="1" applyFill="1" applyBorder="1" applyAlignment="1" applyProtection="1">
      <alignment horizontal="center"/>
      <protection/>
    </xf>
    <xf numFmtId="0" fontId="0" fillId="0" borderId="17" xfId="0" applyBorder="1" applyAlignment="1">
      <alignment/>
    </xf>
    <xf numFmtId="0" fontId="0" fillId="32" borderId="17" xfId="0" applyFill="1" applyBorder="1" applyAlignment="1" applyProtection="1">
      <alignment/>
      <protection/>
    </xf>
    <xf numFmtId="0" fontId="0" fillId="0" borderId="0" xfId="0" applyAlignment="1" applyProtection="1">
      <alignment/>
      <protection/>
    </xf>
    <xf numFmtId="4" fontId="0" fillId="2" borderId="0" xfId="42" applyFont="1" applyAlignment="1" applyProtection="1">
      <alignment/>
      <protection/>
    </xf>
    <xf numFmtId="0" fontId="82" fillId="0" borderId="0" xfId="0" applyFont="1" applyAlignment="1" applyProtection="1">
      <alignment/>
      <protection/>
    </xf>
    <xf numFmtId="10" fontId="0" fillId="2" borderId="0" xfId="279" applyNumberFormat="1" applyFont="1" applyAlignment="1" applyProtection="1">
      <alignment/>
      <protection/>
    </xf>
    <xf numFmtId="0" fontId="0" fillId="0" borderId="0" xfId="0" applyBorder="1" applyAlignment="1" applyProtection="1">
      <alignment/>
      <protection/>
    </xf>
    <xf numFmtId="10" fontId="0" fillId="0" borderId="0" xfId="0" applyNumberFormat="1" applyAlignment="1" applyProtection="1">
      <alignment/>
      <protection/>
    </xf>
    <xf numFmtId="0" fontId="0" fillId="2" borderId="0" xfId="0" applyFill="1" applyAlignment="1" applyProtection="1">
      <alignment/>
      <protection/>
    </xf>
    <xf numFmtId="4" fontId="0" fillId="2" borderId="0" xfId="0" applyNumberFormat="1" applyFill="1" applyAlignment="1" applyProtection="1">
      <alignment/>
      <protection/>
    </xf>
    <xf numFmtId="0" fontId="84" fillId="0" borderId="13" xfId="0" applyFont="1" applyBorder="1" applyAlignment="1">
      <alignment/>
    </xf>
    <xf numFmtId="0" fontId="0" fillId="0" borderId="7" xfId="0" applyBorder="1" applyAlignment="1">
      <alignment/>
    </xf>
    <xf numFmtId="0" fontId="4" fillId="0" borderId="7" xfId="0" applyFont="1" applyBorder="1" applyAlignment="1">
      <alignment horizontal="center"/>
    </xf>
    <xf numFmtId="0" fontId="82" fillId="0" borderId="10" xfId="0" applyFont="1" applyBorder="1" applyAlignment="1">
      <alignment/>
    </xf>
    <xf numFmtId="49" fontId="0" fillId="0" borderId="0" xfId="0" applyNumberFormat="1" applyBorder="1" applyAlignment="1">
      <alignment/>
    </xf>
    <xf numFmtId="0" fontId="82" fillId="0" borderId="0" xfId="0" applyFont="1" applyBorder="1" applyAlignment="1">
      <alignment/>
    </xf>
    <xf numFmtId="14" fontId="0" fillId="0" borderId="0" xfId="0" applyNumberFormat="1" applyBorder="1" applyAlignment="1">
      <alignment/>
    </xf>
    <xf numFmtId="49" fontId="0" fillId="2" borderId="0" xfId="0" applyNumberFormat="1" applyFill="1" applyBorder="1" applyAlignment="1">
      <alignment/>
    </xf>
    <xf numFmtId="43" fontId="0" fillId="0" borderId="0" xfId="0" applyNumberFormat="1" applyBorder="1" applyAlignment="1">
      <alignment/>
    </xf>
    <xf numFmtId="10" fontId="0" fillId="0" borderId="0" xfId="0" applyNumberFormat="1" applyBorder="1" applyAlignment="1">
      <alignment/>
    </xf>
    <xf numFmtId="10" fontId="0" fillId="2" borderId="0" xfId="279" applyNumberFormat="1" applyFont="1" applyBorder="1" applyAlignment="1">
      <alignment/>
    </xf>
    <xf numFmtId="4" fontId="0" fillId="2" borderId="0" xfId="42" applyFont="1" applyBorder="1" applyAlignment="1">
      <alignment/>
    </xf>
    <xf numFmtId="0" fontId="0" fillId="0" borderId="10" xfId="0" applyBorder="1" applyAlignment="1">
      <alignment/>
    </xf>
    <xf numFmtId="0" fontId="0" fillId="0" borderId="0" xfId="0" applyBorder="1" applyAlignment="1">
      <alignment horizontal="center"/>
    </xf>
    <xf numFmtId="0" fontId="3" fillId="2" borderId="11" xfId="0" applyFont="1" applyFill="1" applyBorder="1" applyAlignment="1">
      <alignment/>
    </xf>
    <xf numFmtId="4" fontId="0" fillId="31" borderId="17" xfId="42" applyFont="1" applyFill="1" applyBorder="1" applyAlignment="1">
      <alignment/>
    </xf>
    <xf numFmtId="4" fontId="0" fillId="31" borderId="38" xfId="42" applyFont="1" applyFill="1" applyBorder="1" applyAlignment="1" applyProtection="1">
      <alignment/>
      <protection/>
    </xf>
    <xf numFmtId="0" fontId="0" fillId="33" borderId="17" xfId="0" applyFill="1" applyBorder="1" applyAlignment="1" applyProtection="1">
      <alignment/>
      <protection locked="0"/>
    </xf>
    <xf numFmtId="10" fontId="0" fillId="25" borderId="17" xfId="279" applyNumberFormat="1" applyFont="1" applyFill="1" applyBorder="1" applyAlignment="1" applyProtection="1">
      <alignment/>
      <protection locked="0"/>
    </xf>
    <xf numFmtId="10" fontId="0" fillId="25" borderId="17" xfId="279" applyNumberFormat="1" applyFont="1" applyFill="1" applyBorder="1" applyAlignment="1" applyProtection="1">
      <alignment/>
      <protection locked="0"/>
    </xf>
    <xf numFmtId="0" fontId="0" fillId="2" borderId="11" xfId="0" applyFont="1" applyFill="1" applyBorder="1" applyAlignment="1" applyProtection="1">
      <alignment/>
      <protection/>
    </xf>
    <xf numFmtId="7" fontId="3" fillId="2" borderId="42" xfId="0" applyNumberFormat="1" applyFont="1" applyFill="1" applyBorder="1" applyAlignment="1">
      <alignment horizontal="right"/>
    </xf>
    <xf numFmtId="44" fontId="3" fillId="2" borderId="24" xfId="0" applyNumberFormat="1" applyFont="1" applyFill="1" applyBorder="1" applyAlignment="1">
      <alignment/>
    </xf>
    <xf numFmtId="44" fontId="3" fillId="2" borderId="25" xfId="0" applyNumberFormat="1" applyFont="1" applyFill="1" applyBorder="1" applyAlignment="1">
      <alignment/>
    </xf>
    <xf numFmtId="44" fontId="0" fillId="34" borderId="68" xfId="0" applyNumberFormat="1" applyFill="1" applyBorder="1" applyAlignment="1">
      <alignment/>
    </xf>
    <xf numFmtId="44" fontId="0" fillId="34" borderId="69" xfId="0" applyNumberFormat="1" applyFill="1" applyBorder="1" applyAlignment="1">
      <alignment/>
    </xf>
    <xf numFmtId="0" fontId="0" fillId="2" borderId="0" xfId="0" applyNumberFormat="1" applyFont="1" applyFill="1" applyAlignment="1">
      <alignment/>
    </xf>
    <xf numFmtId="10" fontId="0" fillId="2" borderId="22" xfId="0" applyNumberFormat="1" applyFill="1" applyBorder="1" applyAlignment="1">
      <alignment horizontal="right"/>
    </xf>
    <xf numFmtId="44" fontId="12" fillId="2" borderId="70" xfId="0" applyNumberFormat="1" applyFont="1" applyFill="1" applyBorder="1" applyAlignment="1">
      <alignment horizontal="right"/>
    </xf>
    <xf numFmtId="0" fontId="12" fillId="2" borderId="0" xfId="0" applyFont="1" applyFill="1" applyAlignment="1">
      <alignment horizontal="right"/>
    </xf>
    <xf numFmtId="2" fontId="0" fillId="2" borderId="71" xfId="0" applyNumberFormat="1" applyFont="1" applyFill="1" applyBorder="1" applyAlignment="1">
      <alignment horizontal="right"/>
    </xf>
    <xf numFmtId="0" fontId="0" fillId="34" borderId="72" xfId="0" applyFill="1" applyBorder="1" applyAlignment="1">
      <alignment/>
    </xf>
    <xf numFmtId="7" fontId="0" fillId="2" borderId="73" xfId="0" applyNumberFormat="1" applyFill="1" applyBorder="1" applyAlignment="1">
      <alignment/>
    </xf>
    <xf numFmtId="44" fontId="0" fillId="2" borderId="74" xfId="0" applyNumberFormat="1" applyFill="1" applyBorder="1" applyAlignment="1">
      <alignment/>
    </xf>
    <xf numFmtId="44" fontId="0" fillId="2" borderId="68" xfId="0" applyNumberFormat="1" applyFill="1" applyBorder="1" applyAlignment="1">
      <alignment/>
    </xf>
    <xf numFmtId="44" fontId="0" fillId="2" borderId="75" xfId="0" applyNumberFormat="1" applyFill="1" applyBorder="1" applyAlignment="1">
      <alignment/>
    </xf>
    <xf numFmtId="0" fontId="0" fillId="2" borderId="76" xfId="0" applyFill="1" applyBorder="1" applyAlignment="1">
      <alignment/>
    </xf>
    <xf numFmtId="44" fontId="0" fillId="34" borderId="73" xfId="0" applyNumberFormat="1" applyFill="1" applyBorder="1" applyAlignment="1">
      <alignment/>
    </xf>
    <xf numFmtId="44" fontId="0" fillId="2" borderId="77" xfId="0" applyNumberFormat="1" applyFill="1" applyBorder="1" applyAlignment="1">
      <alignment/>
    </xf>
    <xf numFmtId="2" fontId="0" fillId="2" borderId="78" xfId="0" applyNumberFormat="1" applyFont="1" applyFill="1" applyBorder="1" applyAlignment="1">
      <alignment horizontal="center"/>
    </xf>
    <xf numFmtId="0" fontId="0" fillId="2" borderId="52" xfId="0" applyFont="1" applyFill="1" applyBorder="1" applyAlignment="1">
      <alignment horizontal="left"/>
    </xf>
    <xf numFmtId="0" fontId="0" fillId="2" borderId="51" xfId="0" applyFont="1" applyFill="1" applyBorder="1" applyAlignment="1">
      <alignment horizontal="center"/>
    </xf>
    <xf numFmtId="0" fontId="0" fillId="2" borderId="61" xfId="0" applyFont="1" applyFill="1" applyBorder="1" applyAlignment="1">
      <alignment horizontal="center"/>
    </xf>
    <xf numFmtId="44" fontId="0" fillId="34" borderId="77" xfId="0" applyNumberFormat="1" applyFill="1" applyBorder="1" applyAlignment="1">
      <alignment/>
    </xf>
    <xf numFmtId="44" fontId="0" fillId="34" borderId="79" xfId="0" applyNumberFormat="1" applyFill="1" applyBorder="1" applyAlignment="1">
      <alignment/>
    </xf>
    <xf numFmtId="44" fontId="0" fillId="34" borderId="12" xfId="0" applyNumberFormat="1" applyFill="1" applyBorder="1" applyAlignment="1">
      <alignment/>
    </xf>
    <xf numFmtId="44" fontId="0" fillId="34" borderId="8" xfId="0" applyNumberFormat="1" applyFill="1" applyBorder="1" applyAlignment="1">
      <alignment/>
    </xf>
    <xf numFmtId="0" fontId="0" fillId="34" borderId="11" xfId="0" applyFill="1" applyBorder="1" applyAlignment="1">
      <alignment/>
    </xf>
    <xf numFmtId="44" fontId="0" fillId="34" borderId="73" xfId="0" applyNumberFormat="1" applyFill="1" applyBorder="1" applyAlignment="1">
      <alignment horizontal="right"/>
    </xf>
    <xf numFmtId="44" fontId="0" fillId="34" borderId="77" xfId="0" applyNumberFormat="1" applyFill="1" applyBorder="1" applyAlignment="1">
      <alignment horizontal="right"/>
    </xf>
    <xf numFmtId="0" fontId="0" fillId="34" borderId="80" xfId="0" applyFill="1" applyBorder="1" applyAlignment="1">
      <alignment/>
    </xf>
    <xf numFmtId="0" fontId="0" fillId="2" borderId="34" xfId="0" applyFont="1" applyFill="1" applyBorder="1" applyAlignment="1">
      <alignment/>
    </xf>
    <xf numFmtId="0" fontId="0" fillId="2" borderId="81" xfId="0" applyFont="1" applyFill="1" applyBorder="1" applyAlignment="1">
      <alignment/>
    </xf>
    <xf numFmtId="0" fontId="0" fillId="32" borderId="17" xfId="0" applyNumberFormat="1" applyFill="1" applyBorder="1" applyAlignment="1">
      <alignment/>
    </xf>
    <xf numFmtId="7" fontId="0" fillId="2" borderId="0" xfId="80" applyFont="1" applyBorder="1" applyAlignment="1">
      <alignment horizontal="right"/>
    </xf>
    <xf numFmtId="4" fontId="4" fillId="2" borderId="0" xfId="42" applyFont="1" applyAlignment="1">
      <alignment/>
    </xf>
    <xf numFmtId="0" fontId="27" fillId="35" borderId="15" xfId="0" applyFont="1" applyFill="1" applyBorder="1" applyAlignment="1">
      <alignment horizontal="center"/>
    </xf>
    <xf numFmtId="0" fontId="22" fillId="35" borderId="16" xfId="0" applyFont="1" applyFill="1" applyBorder="1" applyAlignment="1">
      <alignment horizontal="center"/>
    </xf>
    <xf numFmtId="0" fontId="0" fillId="2" borderId="16" xfId="0" applyFill="1" applyBorder="1" applyAlignment="1">
      <alignment/>
    </xf>
    <xf numFmtId="0" fontId="17" fillId="0" borderId="13" xfId="0" applyFont="1" applyFill="1" applyBorder="1" applyAlignment="1">
      <alignment horizontal="center"/>
    </xf>
    <xf numFmtId="0" fontId="0" fillId="0" borderId="7" xfId="0" applyFont="1" applyFill="1" applyBorder="1" applyAlignment="1">
      <alignment horizontal="center"/>
    </xf>
    <xf numFmtId="0" fontId="0" fillId="0" borderId="14" xfId="0" applyFont="1" applyFill="1" applyBorder="1" applyAlignment="1">
      <alignment horizontal="center"/>
    </xf>
    <xf numFmtId="0" fontId="3" fillId="30" borderId="0" xfId="0" applyFont="1" applyFill="1" applyBorder="1" applyAlignment="1">
      <alignment horizontal="center"/>
    </xf>
    <xf numFmtId="177" fontId="3" fillId="30" borderId="0" xfId="0" applyNumberFormat="1" applyFont="1" applyFill="1" applyBorder="1" applyAlignment="1">
      <alignment horizontal="center"/>
    </xf>
    <xf numFmtId="177" fontId="3" fillId="30" borderId="0" xfId="0" applyNumberFormat="1" applyFont="1" applyFill="1" applyBorder="1" applyAlignment="1" applyProtection="1">
      <alignment horizontal="center"/>
      <protection locked="0"/>
    </xf>
    <xf numFmtId="0" fontId="10" fillId="30" borderId="0" xfId="227" applyFill="1" applyBorder="1" applyAlignment="1" applyProtection="1">
      <alignment horizontal="center"/>
      <protection/>
    </xf>
    <xf numFmtId="0" fontId="6" fillId="30" borderId="0" xfId="227" applyFont="1" applyFill="1" applyBorder="1" applyAlignment="1" applyProtection="1">
      <alignment horizontal="center"/>
      <protection/>
    </xf>
    <xf numFmtId="0" fontId="40" fillId="36" borderId="0" xfId="0" applyFont="1" applyFill="1" applyBorder="1" applyAlignment="1">
      <alignment horizontal="left" wrapText="1"/>
    </xf>
    <xf numFmtId="0" fontId="36" fillId="30" borderId="0" xfId="0" applyFont="1" applyFill="1" applyAlignment="1">
      <alignment vertical="center" wrapText="1"/>
    </xf>
    <xf numFmtId="0" fontId="85" fillId="30" borderId="0" xfId="0" applyFont="1" applyFill="1" applyBorder="1" applyAlignment="1">
      <alignment horizontal="left" vertical="center" wrapText="1"/>
    </xf>
    <xf numFmtId="0" fontId="3" fillId="23" borderId="15" xfId="0" applyFont="1" applyFill="1" applyBorder="1" applyAlignment="1">
      <alignment horizontal="center"/>
    </xf>
    <xf numFmtId="0" fontId="3" fillId="23" borderId="16" xfId="0" applyFont="1" applyFill="1" applyBorder="1" applyAlignment="1">
      <alignment horizontal="center"/>
    </xf>
    <xf numFmtId="0" fontId="3" fillId="23" borderId="20"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2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3" borderId="7" xfId="0" applyFont="1" applyFill="1" applyBorder="1" applyAlignment="1">
      <alignment horizontal="center"/>
    </xf>
    <xf numFmtId="0" fontId="3" fillId="23" borderId="14" xfId="0" applyFont="1" applyFill="1" applyBorder="1" applyAlignment="1">
      <alignment horizontal="center"/>
    </xf>
    <xf numFmtId="0" fontId="3" fillId="23" borderId="13" xfId="0" applyFont="1" applyFill="1" applyBorder="1" applyAlignment="1">
      <alignment horizontal="center"/>
    </xf>
    <xf numFmtId="0" fontId="0" fillId="23" borderId="15" xfId="0" applyFont="1" applyFill="1" applyBorder="1" applyAlignment="1">
      <alignment horizontal="center"/>
    </xf>
    <xf numFmtId="0" fontId="0" fillId="23" borderId="16" xfId="0" applyFont="1" applyFill="1" applyBorder="1" applyAlignment="1">
      <alignment horizontal="center"/>
    </xf>
    <xf numFmtId="0" fontId="0" fillId="23" borderId="20" xfId="0" applyFont="1" applyFill="1" applyBorder="1" applyAlignment="1">
      <alignment horizontal="center"/>
    </xf>
    <xf numFmtId="0" fontId="0" fillId="2" borderId="0" xfId="0" applyFont="1" applyFill="1" applyBorder="1" applyAlignment="1">
      <alignment horizontal="center"/>
    </xf>
    <xf numFmtId="0" fontId="0" fillId="2" borderId="15" xfId="0" applyFill="1" applyBorder="1" applyAlignment="1">
      <alignment horizontal="center"/>
    </xf>
    <xf numFmtId="0" fontId="0" fillId="2" borderId="20" xfId="0" applyFill="1" applyBorder="1" applyAlignment="1">
      <alignment horizontal="center"/>
    </xf>
    <xf numFmtId="0" fontId="14" fillId="0" borderId="0" xfId="0" applyFont="1" applyFill="1" applyBorder="1" applyAlignment="1">
      <alignment vertical="top" wrapText="1"/>
    </xf>
    <xf numFmtId="0" fontId="5" fillId="2" borderId="0" xfId="0" applyFont="1" applyFill="1" applyAlignment="1">
      <alignment wrapText="1"/>
    </xf>
    <xf numFmtId="0" fontId="5" fillId="2" borderId="13" xfId="0" applyFont="1" applyFill="1" applyBorder="1" applyAlignment="1" applyProtection="1">
      <alignment vertical="top" wrapText="1"/>
      <protection/>
    </xf>
    <xf numFmtId="0" fontId="5" fillId="2" borderId="7" xfId="0" applyFont="1" applyFill="1" applyBorder="1" applyAlignment="1">
      <alignment wrapText="1"/>
    </xf>
    <xf numFmtId="0" fontId="5" fillId="2" borderId="14" xfId="0" applyFont="1" applyFill="1" applyBorder="1" applyAlignment="1">
      <alignment wrapText="1"/>
    </xf>
    <xf numFmtId="0" fontId="5" fillId="2" borderId="10" xfId="0" applyFont="1" applyFill="1" applyBorder="1" applyAlignment="1">
      <alignment wrapText="1"/>
    </xf>
    <xf numFmtId="0" fontId="5" fillId="2" borderId="0" xfId="0" applyFont="1" applyFill="1" applyBorder="1" applyAlignment="1">
      <alignment wrapText="1"/>
    </xf>
    <xf numFmtId="0" fontId="5" fillId="2" borderId="9" xfId="0" applyFont="1" applyFill="1" applyBorder="1" applyAlignment="1">
      <alignment wrapText="1"/>
    </xf>
    <xf numFmtId="0" fontId="5" fillId="2" borderId="11" xfId="0" applyFont="1" applyFill="1" applyBorder="1" applyAlignment="1">
      <alignment wrapText="1"/>
    </xf>
    <xf numFmtId="0" fontId="5" fillId="2" borderId="8" xfId="0" applyFont="1" applyFill="1" applyBorder="1" applyAlignment="1">
      <alignment wrapText="1"/>
    </xf>
    <xf numFmtId="0" fontId="5" fillId="2" borderId="12" xfId="0" applyFont="1" applyFill="1" applyBorder="1" applyAlignment="1">
      <alignment wrapText="1"/>
    </xf>
    <xf numFmtId="0" fontId="25" fillId="2" borderId="0" xfId="0" applyFont="1" applyFill="1" applyAlignment="1">
      <alignment wrapText="1"/>
    </xf>
    <xf numFmtId="0" fontId="3" fillId="2" borderId="13" xfId="0" applyFont="1" applyFill="1" applyBorder="1" applyAlignment="1" applyProtection="1">
      <alignment horizontal="center"/>
      <protection/>
    </xf>
    <xf numFmtId="0" fontId="0" fillId="2" borderId="14" xfId="0" applyFill="1" applyBorder="1" applyAlignment="1">
      <alignment horizontal="center"/>
    </xf>
    <xf numFmtId="0" fontId="45" fillId="0" borderId="9" xfId="0" applyFont="1" applyBorder="1" applyAlignment="1">
      <alignment horizontal="center" vertical="center" textRotation="90"/>
    </xf>
    <xf numFmtId="0" fontId="45" fillId="2" borderId="9" xfId="0" applyFont="1" applyFill="1" applyBorder="1" applyAlignment="1">
      <alignment horizontal="center" vertical="center" textRotation="90"/>
    </xf>
    <xf numFmtId="0" fontId="22" fillId="0" borderId="0" xfId="0" applyFont="1" applyAlignment="1">
      <alignment/>
    </xf>
    <xf numFmtId="0" fontId="22" fillId="2" borderId="0" xfId="0" applyFont="1" applyFill="1" applyAlignment="1">
      <alignment/>
    </xf>
    <xf numFmtId="0" fontId="82" fillId="0" borderId="0" xfId="0" applyFont="1" applyAlignment="1">
      <alignment horizontal="center"/>
    </xf>
    <xf numFmtId="0" fontId="0" fillId="0" borderId="0" xfId="0" applyAlignment="1">
      <alignment horizontal="center"/>
    </xf>
    <xf numFmtId="0" fontId="0" fillId="29" borderId="15" xfId="0" applyFill="1" applyBorder="1" applyAlignment="1">
      <alignment horizontal="center"/>
    </xf>
    <xf numFmtId="0" fontId="0" fillId="29" borderId="20" xfId="0" applyFill="1" applyBorder="1" applyAlignment="1">
      <alignment horizontal="center"/>
    </xf>
    <xf numFmtId="0" fontId="0" fillId="2" borderId="0" xfId="0" applyFill="1" applyBorder="1" applyAlignment="1">
      <alignment horizontal="center"/>
    </xf>
    <xf numFmtId="0" fontId="0" fillId="2" borderId="40" xfId="0" applyFill="1" applyBorder="1" applyAlignment="1">
      <alignment/>
    </xf>
    <xf numFmtId="0" fontId="0" fillId="2" borderId="41" xfId="0" applyFill="1" applyBorder="1" applyAlignment="1">
      <alignment/>
    </xf>
    <xf numFmtId="0" fontId="0" fillId="2" borderId="21" xfId="0" applyFill="1" applyBorder="1" applyAlignment="1">
      <alignment/>
    </xf>
    <xf numFmtId="0" fontId="0" fillId="2" borderId="82" xfId="0" applyFill="1" applyBorder="1" applyAlignment="1">
      <alignment/>
    </xf>
    <xf numFmtId="0" fontId="0" fillId="2" borderId="49" xfId="0" applyFill="1" applyBorder="1" applyAlignment="1">
      <alignment/>
    </xf>
    <xf numFmtId="0" fontId="0" fillId="2" borderId="83" xfId="0" applyFill="1" applyBorder="1" applyAlignment="1">
      <alignment/>
    </xf>
    <xf numFmtId="0" fontId="82" fillId="0" borderId="10" xfId="0" applyFont="1" applyBorder="1" applyAlignment="1">
      <alignment horizontal="center" vertical="top"/>
    </xf>
    <xf numFmtId="0" fontId="0" fillId="2" borderId="0" xfId="0" applyFill="1" applyBorder="1" applyAlignment="1">
      <alignment horizontal="center" vertical="top"/>
    </xf>
    <xf numFmtId="0" fontId="0" fillId="2" borderId="10" xfId="0" applyFill="1" applyBorder="1" applyAlignment="1">
      <alignment horizontal="center" vertical="top"/>
    </xf>
    <xf numFmtId="0" fontId="0" fillId="29" borderId="13"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55" xfId="0" applyBorder="1" applyAlignment="1">
      <alignment/>
    </xf>
    <xf numFmtId="0" fontId="0" fillId="2" borderId="50" xfId="0" applyFill="1" applyBorder="1" applyAlignment="1">
      <alignment/>
    </xf>
    <xf numFmtId="0" fontId="0" fillId="2" borderId="0" xfId="0" applyFill="1" applyAlignment="1">
      <alignment horizontal="center"/>
    </xf>
    <xf numFmtId="0" fontId="7" fillId="2" borderId="37" xfId="0" applyFont="1" applyFill="1" applyBorder="1" applyAlignment="1">
      <alignment horizontal="center" vertical="center"/>
    </xf>
    <xf numFmtId="0" fontId="7" fillId="2" borderId="45" xfId="0" applyFont="1" applyFill="1" applyBorder="1" applyAlignment="1">
      <alignment horizontal="center" vertical="center"/>
    </xf>
    <xf numFmtId="0" fontId="0" fillId="2" borderId="7" xfId="0" applyFont="1" applyFill="1" applyBorder="1" applyAlignment="1">
      <alignment horizontal="left"/>
    </xf>
    <xf numFmtId="0" fontId="0" fillId="2" borderId="18" xfId="0" applyFont="1" applyFill="1" applyBorder="1" applyAlignment="1">
      <alignment/>
    </xf>
    <xf numFmtId="0" fontId="38" fillId="2" borderId="0" xfId="232" applyFont="1" applyFill="1" applyAlignment="1">
      <alignment vertical="center"/>
      <protection/>
    </xf>
    <xf numFmtId="0" fontId="39" fillId="2" borderId="0" xfId="232" applyFont="1" applyFill="1" applyAlignment="1">
      <alignment/>
      <protection/>
    </xf>
    <xf numFmtId="0" fontId="0" fillId="2" borderId="0" xfId="0" applyFill="1" applyAlignment="1">
      <alignment/>
    </xf>
  </cellXfs>
  <cellStyles count="3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22" xfId="57"/>
    <cellStyle name="Comma 23" xfId="58"/>
    <cellStyle name="Comma 24" xfId="59"/>
    <cellStyle name="Comma 25" xfId="60"/>
    <cellStyle name="Comma 26" xfId="61"/>
    <cellStyle name="Comma 27" xfId="62"/>
    <cellStyle name="Comma 28" xfId="63"/>
    <cellStyle name="Comma 29" xfId="64"/>
    <cellStyle name="Comma 3" xfId="65"/>
    <cellStyle name="Comma 30" xfId="66"/>
    <cellStyle name="Comma 31" xfId="67"/>
    <cellStyle name="Comma 32" xfId="68"/>
    <cellStyle name="Comma 33" xfId="69"/>
    <cellStyle name="Comma 34" xfId="70"/>
    <cellStyle name="Comma 37" xfId="71"/>
    <cellStyle name="Comma 38" xfId="72"/>
    <cellStyle name="Comma 39" xfId="73"/>
    <cellStyle name="Comma 4" xfId="74"/>
    <cellStyle name="Comma 5" xfId="75"/>
    <cellStyle name="Comma 6" xfId="76"/>
    <cellStyle name="Comma 7" xfId="77"/>
    <cellStyle name="Comma 8" xfId="78"/>
    <cellStyle name="Comma 9" xfId="79"/>
    <cellStyle name="Currency" xfId="80"/>
    <cellStyle name="Currency [0]" xfId="81"/>
    <cellStyle name="Currency 10" xfId="82"/>
    <cellStyle name="Currency 10 2" xfId="83"/>
    <cellStyle name="Currency 11" xfId="84"/>
    <cellStyle name="Currency 12" xfId="85"/>
    <cellStyle name="Currency 13" xfId="86"/>
    <cellStyle name="Currency 14" xfId="87"/>
    <cellStyle name="Currency 15" xfId="88"/>
    <cellStyle name="Currency 16" xfId="89"/>
    <cellStyle name="Currency 17" xfId="90"/>
    <cellStyle name="Currency 18" xfId="91"/>
    <cellStyle name="Currency 19" xfId="92"/>
    <cellStyle name="Currency 2" xfId="93"/>
    <cellStyle name="Currency 20" xfId="94"/>
    <cellStyle name="Currency 21" xfId="95"/>
    <cellStyle name="Currency 22" xfId="96"/>
    <cellStyle name="Currency 23" xfId="97"/>
    <cellStyle name="Currency 24" xfId="98"/>
    <cellStyle name="Currency 25" xfId="99"/>
    <cellStyle name="Currency 26" xfId="100"/>
    <cellStyle name="Currency 27" xfId="101"/>
    <cellStyle name="Currency 28" xfId="102"/>
    <cellStyle name="Currency 29" xfId="103"/>
    <cellStyle name="Currency 3" xfId="104"/>
    <cellStyle name="Currency 30" xfId="105"/>
    <cellStyle name="Currency 31" xfId="106"/>
    <cellStyle name="Currency 32" xfId="107"/>
    <cellStyle name="Currency 33" xfId="108"/>
    <cellStyle name="Currency 34" xfId="109"/>
    <cellStyle name="Currency 35" xfId="110"/>
    <cellStyle name="Currency 36" xfId="111"/>
    <cellStyle name="Currency 37" xfId="112"/>
    <cellStyle name="Currency 4" xfId="113"/>
    <cellStyle name="Currency 5" xfId="114"/>
    <cellStyle name="Currency 6" xfId="115"/>
    <cellStyle name="Currency 7" xfId="116"/>
    <cellStyle name="Currency 8" xfId="117"/>
    <cellStyle name="Currency 9" xfId="118"/>
    <cellStyle name="Explanatory Text" xfId="119"/>
    <cellStyle name="Fixed 12" xfId="120"/>
    <cellStyle name="Followed Hyperlink" xfId="121"/>
    <cellStyle name="Good" xfId="122"/>
    <cellStyle name="Heading 1" xfId="123"/>
    <cellStyle name="Heading 1 10" xfId="124"/>
    <cellStyle name="Heading 1 10 2" xfId="125"/>
    <cellStyle name="Heading 1 11" xfId="126"/>
    <cellStyle name="Heading 1 11 2" xfId="127"/>
    <cellStyle name="Heading 1 12" xfId="128"/>
    <cellStyle name="Heading 1 12 9" xfId="129"/>
    <cellStyle name="Heading 1 13" xfId="130"/>
    <cellStyle name="Heading 1 13 2" xfId="131"/>
    <cellStyle name="Heading 1 14" xfId="132"/>
    <cellStyle name="Heading 1 14 2" xfId="133"/>
    <cellStyle name="Heading 1 15" xfId="134"/>
    <cellStyle name="Heading 1 15 2" xfId="135"/>
    <cellStyle name="Heading 1 16" xfId="136"/>
    <cellStyle name="Heading 1 16 2" xfId="137"/>
    <cellStyle name="Heading 1 17" xfId="138"/>
    <cellStyle name="Heading 1 17 2" xfId="139"/>
    <cellStyle name="Heading 1 18" xfId="140"/>
    <cellStyle name="Heading 1 18 2" xfId="141"/>
    <cellStyle name="Heading 1 19" xfId="142"/>
    <cellStyle name="Heading 1 19 2" xfId="143"/>
    <cellStyle name="Heading 1 2" xfId="144"/>
    <cellStyle name="Heading 1 2 2" xfId="145"/>
    <cellStyle name="Heading 1 20" xfId="146"/>
    <cellStyle name="Heading 1 20 2" xfId="147"/>
    <cellStyle name="Heading 1 21" xfId="148"/>
    <cellStyle name="Heading 1 21 2" xfId="149"/>
    <cellStyle name="Heading 1 22" xfId="150"/>
    <cellStyle name="Heading 1 22 2" xfId="151"/>
    <cellStyle name="Heading 1 23" xfId="152"/>
    <cellStyle name="Heading 1 23 2" xfId="153"/>
    <cellStyle name="Heading 1 3" xfId="154"/>
    <cellStyle name="Heading 1 3 2" xfId="155"/>
    <cellStyle name="Heading 1 30" xfId="156"/>
    <cellStyle name="Heading 1 30 2" xfId="157"/>
    <cellStyle name="Heading 1 31" xfId="158"/>
    <cellStyle name="Heading 1 31 2" xfId="159"/>
    <cellStyle name="Heading 1 32" xfId="160"/>
    <cellStyle name="Heading 1 32 2" xfId="161"/>
    <cellStyle name="Heading 1 4" xfId="162"/>
    <cellStyle name="Heading 1 4 2" xfId="163"/>
    <cellStyle name="Heading 1 5" xfId="164"/>
    <cellStyle name="Heading 1 5 2" xfId="165"/>
    <cellStyle name="Heading 1 6" xfId="166"/>
    <cellStyle name="Heading 1 6 2" xfId="167"/>
    <cellStyle name="Heading 1 7" xfId="168"/>
    <cellStyle name="Heading 1 7 2" xfId="169"/>
    <cellStyle name="Heading 1 8" xfId="170"/>
    <cellStyle name="Heading 1 8 2" xfId="171"/>
    <cellStyle name="Heading 1 9" xfId="172"/>
    <cellStyle name="Heading 1 9 2" xfId="173"/>
    <cellStyle name="Heading 2" xfId="174"/>
    <cellStyle name="Heading 2 10" xfId="175"/>
    <cellStyle name="Heading 2 10 2" xfId="176"/>
    <cellStyle name="Heading 2 11" xfId="177"/>
    <cellStyle name="Heading 2 11 2" xfId="178"/>
    <cellStyle name="Heading 2 12" xfId="179"/>
    <cellStyle name="Heading 2 12 2" xfId="180"/>
    <cellStyle name="Heading 2 13" xfId="181"/>
    <cellStyle name="Heading 2 13 2" xfId="182"/>
    <cellStyle name="Heading 2 14" xfId="183"/>
    <cellStyle name="Heading 2 14 2" xfId="184"/>
    <cellStyle name="Heading 2 15" xfId="185"/>
    <cellStyle name="Heading 2 15 2" xfId="186"/>
    <cellStyle name="Heading 2 16" xfId="187"/>
    <cellStyle name="Heading 2 16 2" xfId="188"/>
    <cellStyle name="Heading 2 17" xfId="189"/>
    <cellStyle name="Heading 2 17 2" xfId="190"/>
    <cellStyle name="Heading 2 18" xfId="191"/>
    <cellStyle name="Heading 2 18 2" xfId="192"/>
    <cellStyle name="Heading 2 19" xfId="193"/>
    <cellStyle name="Heading 2 19 2" xfId="194"/>
    <cellStyle name="Heading 2 2" xfId="195"/>
    <cellStyle name="Heading 2 2 2" xfId="196"/>
    <cellStyle name="Heading 2 20" xfId="197"/>
    <cellStyle name="Heading 2 20 2" xfId="198"/>
    <cellStyle name="Heading 2 21" xfId="199"/>
    <cellStyle name="Heading 2 21 2" xfId="200"/>
    <cellStyle name="Heading 2 22" xfId="201"/>
    <cellStyle name="Heading 2 22 2" xfId="202"/>
    <cellStyle name="Heading 2 23" xfId="203"/>
    <cellStyle name="Heading 2 23 2" xfId="204"/>
    <cellStyle name="Heading 2 3" xfId="205"/>
    <cellStyle name="Heading 2 3 2" xfId="206"/>
    <cellStyle name="Heading 2 30" xfId="207"/>
    <cellStyle name="Heading 2 30 2" xfId="208"/>
    <cellStyle name="Heading 2 31" xfId="209"/>
    <cellStyle name="Heading 2 31 2" xfId="210"/>
    <cellStyle name="Heading 2 32" xfId="211"/>
    <cellStyle name="Heading 2 32 2" xfId="212"/>
    <cellStyle name="Heading 2 4" xfId="213"/>
    <cellStyle name="Heading 2 4 2" xfId="214"/>
    <cellStyle name="Heading 2 5" xfId="215"/>
    <cellStyle name="Heading 2 5 2" xfId="216"/>
    <cellStyle name="Heading 2 6" xfId="217"/>
    <cellStyle name="Heading 2 6 2" xfId="218"/>
    <cellStyle name="Heading 2 7" xfId="219"/>
    <cellStyle name="Heading 2 7 2" xfId="220"/>
    <cellStyle name="Heading 2 8" xfId="221"/>
    <cellStyle name="Heading 2 8 2" xfId="222"/>
    <cellStyle name="Heading 2 9" xfId="223"/>
    <cellStyle name="Heading 2 9 2" xfId="224"/>
    <cellStyle name="Heading 3" xfId="225"/>
    <cellStyle name="Heading 4" xfId="226"/>
    <cellStyle name="Hyperlink" xfId="227"/>
    <cellStyle name="Input" xfId="228"/>
    <cellStyle name="Linked Cell" xfId="229"/>
    <cellStyle name="Neutral" xfId="230"/>
    <cellStyle name="Normal 10" xfId="231"/>
    <cellStyle name="Normal 10 2" xfId="232"/>
    <cellStyle name="Normal 11" xfId="233"/>
    <cellStyle name="Normal 11 9" xfId="234"/>
    <cellStyle name="Normal 12" xfId="235"/>
    <cellStyle name="Normal 12 2" xfId="236"/>
    <cellStyle name="Normal 13" xfId="237"/>
    <cellStyle name="Normal 13 2" xfId="238"/>
    <cellStyle name="Normal 14" xfId="239"/>
    <cellStyle name="Normal 14 2" xfId="240"/>
    <cellStyle name="Normal 15" xfId="241"/>
    <cellStyle name="Normal 15 2" xfId="242"/>
    <cellStyle name="Normal 16" xfId="243"/>
    <cellStyle name="Normal 16 2" xfId="244"/>
    <cellStyle name="Normal 17" xfId="245"/>
    <cellStyle name="Normal 17 2" xfId="246"/>
    <cellStyle name="Normal 18" xfId="247"/>
    <cellStyle name="Normal 18 2" xfId="248"/>
    <cellStyle name="Normal 19" xfId="249"/>
    <cellStyle name="Normal 19 2" xfId="250"/>
    <cellStyle name="Normal 2" xfId="251"/>
    <cellStyle name="Normal 2 2" xfId="252"/>
    <cellStyle name="Normal 20" xfId="253"/>
    <cellStyle name="Normal 20 2" xfId="254"/>
    <cellStyle name="Normal 21" xfId="255"/>
    <cellStyle name="Normal 21 2" xfId="256"/>
    <cellStyle name="Normal 22" xfId="257"/>
    <cellStyle name="Normal 22 2" xfId="258"/>
    <cellStyle name="Normal 23" xfId="259"/>
    <cellStyle name="Normal 23 2" xfId="260"/>
    <cellStyle name="Normal 24" xfId="261"/>
    <cellStyle name="Normal 24 2" xfId="262"/>
    <cellStyle name="Normal 25" xfId="263"/>
    <cellStyle name="Normal 25 2" xfId="264"/>
    <cellStyle name="Normal 26" xfId="265"/>
    <cellStyle name="Normal 27" xfId="266"/>
    <cellStyle name="Normal 3" xfId="267"/>
    <cellStyle name="Normal 3 2" xfId="268"/>
    <cellStyle name="Normal 4" xfId="269"/>
    <cellStyle name="Normal 4 2" xfId="270"/>
    <cellStyle name="Normal 5" xfId="271"/>
    <cellStyle name="Normal 5 2" xfId="272"/>
    <cellStyle name="Normal 6" xfId="273"/>
    <cellStyle name="Normal 7" xfId="274"/>
    <cellStyle name="Normal 8" xfId="275"/>
    <cellStyle name="Normal 9" xfId="276"/>
    <cellStyle name="Note" xfId="277"/>
    <cellStyle name="Output" xfId="278"/>
    <cellStyle name="Percent" xfId="279"/>
    <cellStyle name="Percent 10" xfId="280"/>
    <cellStyle name="Percent 11" xfId="281"/>
    <cellStyle name="Percent 12" xfId="282"/>
    <cellStyle name="Percent 13" xfId="283"/>
    <cellStyle name="Percent 14" xfId="284"/>
    <cellStyle name="Percent 15" xfId="285"/>
    <cellStyle name="Percent 16" xfId="286"/>
    <cellStyle name="Percent 17" xfId="287"/>
    <cellStyle name="Percent 18" xfId="288"/>
    <cellStyle name="Percent 19" xfId="289"/>
    <cellStyle name="Percent 2" xfId="290"/>
    <cellStyle name="Percent 20" xfId="291"/>
    <cellStyle name="Percent 21" xfId="292"/>
    <cellStyle name="Percent 22" xfId="293"/>
    <cellStyle name="Percent 23" xfId="294"/>
    <cellStyle name="Percent 24" xfId="295"/>
    <cellStyle name="Percent 25" xfId="296"/>
    <cellStyle name="Percent 26" xfId="297"/>
    <cellStyle name="Percent 27" xfId="298"/>
    <cellStyle name="Percent 28" xfId="299"/>
    <cellStyle name="Percent 29" xfId="300"/>
    <cellStyle name="Percent 3" xfId="301"/>
    <cellStyle name="Percent 30" xfId="302"/>
    <cellStyle name="Percent 31" xfId="303"/>
    <cellStyle name="Percent 32" xfId="304"/>
    <cellStyle name="Percent 33" xfId="305"/>
    <cellStyle name="Percent 34" xfId="306"/>
    <cellStyle name="Percent 35" xfId="307"/>
    <cellStyle name="Percent 36" xfId="308"/>
    <cellStyle name="Percent 37" xfId="309"/>
    <cellStyle name="Percent 4" xfId="310"/>
    <cellStyle name="Percent 5" xfId="311"/>
    <cellStyle name="Percent 6" xfId="312"/>
    <cellStyle name="Percent 7" xfId="313"/>
    <cellStyle name="Percent 8" xfId="314"/>
    <cellStyle name="Percent 9" xfId="315"/>
    <cellStyle name="Title" xfId="316"/>
    <cellStyle name="Total" xfId="317"/>
    <cellStyle name="Total 10" xfId="318"/>
    <cellStyle name="Total 10 12" xfId="319"/>
    <cellStyle name="Total 11" xfId="320"/>
    <cellStyle name="Total 11 2" xfId="321"/>
    <cellStyle name="Total 12" xfId="322"/>
    <cellStyle name="Total 12 2" xfId="323"/>
    <cellStyle name="Total 13" xfId="324"/>
    <cellStyle name="Total 13 2" xfId="325"/>
    <cellStyle name="Total 14" xfId="326"/>
    <cellStyle name="Total 14 2" xfId="327"/>
    <cellStyle name="Total 15" xfId="328"/>
    <cellStyle name="Total 15 2" xfId="329"/>
    <cellStyle name="Total 16" xfId="330"/>
    <cellStyle name="Total 16 2" xfId="331"/>
    <cellStyle name="Total 17" xfId="332"/>
    <cellStyle name="Total 17 2" xfId="333"/>
    <cellStyle name="Total 18" xfId="334"/>
    <cellStyle name="Total 18 2" xfId="335"/>
    <cellStyle name="Total 19" xfId="336"/>
    <cellStyle name="Total 19 2" xfId="337"/>
    <cellStyle name="Total 2" xfId="338"/>
    <cellStyle name="Total 2 2" xfId="339"/>
    <cellStyle name="Total 20" xfId="340"/>
    <cellStyle name="Total 20 2" xfId="341"/>
    <cellStyle name="Total 21" xfId="342"/>
    <cellStyle name="Total 21 2" xfId="343"/>
    <cellStyle name="Total 22" xfId="344"/>
    <cellStyle name="Total 22 2" xfId="345"/>
    <cellStyle name="Total 23" xfId="346"/>
    <cellStyle name="Total 23 2" xfId="347"/>
    <cellStyle name="Total 24" xfId="348"/>
    <cellStyle name="Total 24 2" xfId="349"/>
    <cellStyle name="Total 25" xfId="350"/>
    <cellStyle name="Total 25 2" xfId="351"/>
    <cellStyle name="Total 26" xfId="352"/>
    <cellStyle name="Total 26 2" xfId="353"/>
    <cellStyle name="Total 27" xfId="354"/>
    <cellStyle name="Total 27 2" xfId="355"/>
    <cellStyle name="Total 28" xfId="356"/>
    <cellStyle name="Total 28 2" xfId="357"/>
    <cellStyle name="Total 29" xfId="358"/>
    <cellStyle name="Total 29 2" xfId="359"/>
    <cellStyle name="Total 3" xfId="360"/>
    <cellStyle name="Total 3 2" xfId="361"/>
    <cellStyle name="Total 30" xfId="362"/>
    <cellStyle name="Total 30 2" xfId="363"/>
    <cellStyle name="Total 31" xfId="364"/>
    <cellStyle name="Total 31 2" xfId="365"/>
    <cellStyle name="Total 32" xfId="366"/>
    <cellStyle name="Total 32 2" xfId="367"/>
    <cellStyle name="Total 33" xfId="368"/>
    <cellStyle name="Total 33 2" xfId="369"/>
    <cellStyle name="Total 4" xfId="370"/>
    <cellStyle name="Total 4 2" xfId="371"/>
    <cellStyle name="Total 40" xfId="372"/>
    <cellStyle name="Total 40 2" xfId="373"/>
    <cellStyle name="Total 41" xfId="374"/>
    <cellStyle name="Total 41 2" xfId="375"/>
    <cellStyle name="Total 42" xfId="376"/>
    <cellStyle name="Total 42 2" xfId="377"/>
    <cellStyle name="Total 5" xfId="378"/>
    <cellStyle name="Total 5 2" xfId="379"/>
    <cellStyle name="Total 6" xfId="380"/>
    <cellStyle name="Total 6 2" xfId="381"/>
    <cellStyle name="Total 7" xfId="382"/>
    <cellStyle name="Total 7 2" xfId="383"/>
    <cellStyle name="Total 8" xfId="384"/>
    <cellStyle name="Total 8 2" xfId="385"/>
    <cellStyle name="Total 9" xfId="386"/>
    <cellStyle name="Total 9 2" xfId="387"/>
    <cellStyle name="Warning Text" xfId="3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xmlMaps.xml><?xml version="1.0" encoding="utf-8"?>
<MapInfo xmlns="http://schemas.openxmlformats.org/spreadsheetml/2006/main" SelectionNamespaces="xmlns:ns1='http://www.eadventist.net/personnel'">
  <Schema ID="Schema3" Namespace="http://www.eadventist.net/personnel">
    <xsd:schema xmlns:xsd="http://www.w3.org/2001/XMLSchema" xmlns:ns0="http://www.eadventist.net/personnel" targetNamespace="http://www.eadventist.net/personnel">
      <xsd:element nillable="true" name="BenefitsCalculation">
        <xsd:complexType>
          <xsd:sequence minOccurs="0">
            <xsd:element minOccurs="0" nillable="true" type="xsd:string" name="LastName" form="qualified"/>
            <xsd:element minOccurs="0" nillable="true" type="xsd:string" name="FirstName" form="qualified"/>
            <xsd:element minOccurs="0" nillable="true" type="xsd:string" name="MiddleName" form="qualified"/>
            <xsd:element minOccurs="0" nillable="true" type="xsd:string" name="Suffix" form="qualified"/>
            <xsd:element minOccurs="0" nillable="true" type="xsd:string" name="PreviousName" form="qualified"/>
            <xsd:element minOccurs="0" nillable="true" type="xsd:string" name="OptionalLine" form="qualified"/>
            <xsd:element minOccurs="0" nillable="true" type="xsd:string" name="Address" form="qualified"/>
            <xsd:element minOccurs="0" nillable="true" type="xsd:string" name="City" form="qualified"/>
            <xsd:element minOccurs="0" nillable="true" type="xsd:string" name="StateProv" form="qualified"/>
            <xsd:element minOccurs="0" nillable="true" type="xsd:integer" name="PostalCode" form="qualified"/>
            <xsd:element minOccurs="0" nillable="true" type="xsd:string" name="Country" form="qualified"/>
            <xsd:element minOccurs="0" nillable="true" type="xsd:string" name="Phone" form="qualified"/>
            <xsd:element minOccurs="0" nillable="true" type="xsd:string" name="Email" form="qualified"/>
            <xsd:element minOccurs="0" nillable="true" type="xsd:date" name="OrdainDate" form="qualified"/>
            <xsd:element minOccurs="0" nillable="true" type="xsd:date" name="HireDate" form="qualified"/>
            <xsd:element minOccurs="0" nillable="true" type="xsd:date" name="TerminationDate" form="qualified"/>
            <xsd:element minOccurs="0" nillable="true" type="xsd:string" name="SSN" form="qualified"/>
            <xsd:element minOccurs="0" nillable="true" type="xsd:string" name="SIN" form="qualified"/>
            <xsd:element minOccurs="0" nillable="true" type="xsd:date" name="BirthDate" form="qualified"/>
            <xsd:element minOccurs="0" nillable="true" type="xsd:date" name="DeathDate" form="qualified"/>
            <xsd:element minOccurs="0" nillable="true" type="xsd:string" name="Gender" form="qualified"/>
            <xsd:element minOccurs="0" nillable="true" type="xsd:string" name="MaritalStatus" form="qualified"/>
            <xsd:element minOccurs="0" nillable="true" type="xsd:string" name="Credential" form="qualified"/>
            <xsd:element minOccurs="0" nillable="true" type="xsd:date" name="MarriageDate" form="qualified"/>
            <xsd:element minOccurs="0" nillable="true" type="xsd:string" name="MostRecentEmployerOrgID" form="qualified"/>
            <xsd:element minOccurs="0" nillable="true" type="xsd:string" name="MostRecentEmployerName" form="qualified"/>
            <xsd:element minOccurs="0" nillable="true" type="xsd:integer" name="ChurchCredit" form="qualified"/>
            <xsd:element minOccurs="0" nillable="true" type="xsd:integer" name="HospitalCredit" form="qualified"/>
            <xsd:element minOccurs="0" nillable="true" type="xsd:integer" name="CanadaCredit" form="qualified"/>
            <xsd:element minOccurs="0" nillable="true" type="xsd:double" name="USDCCredit" form="qualified"/>
            <xsd:element minOccurs="0" nillable="true" type="xsd:integer" name="BRF" form="qualified"/>
            <xsd:element minOccurs="0" nillable="true" type="xsd:string" name="SpouseFirstName" form="qualified"/>
            <xsd:element minOccurs="0" nillable="true" type="xsd:string" name="SpouseMiddleName" form="qualified"/>
            <xsd:element minOccurs="0" nillable="true" type="xsd:string" name="SpouseLastName" form="qualified"/>
            <xsd:element minOccurs="0" nillable="true" type="xsd:string" name="SpouseSuffix" form="qualified"/>
            <xsd:element minOccurs="0" nillable="true" type="xsd:string" name="SpousePreviousName" form="qualified"/>
            <xsd:element minOccurs="0" nillable="true" type="xsd:string" name="SpouseSSN" form="qualified"/>
            <xsd:element minOccurs="0" nillable="true" type="xsd:integer" name="SpouseSIN" form="qualified"/>
            <xsd:element minOccurs="0" nillable="true" type="xsd:date" name="SpouseBirthDate" form="qualified"/>
            <xsd:element minOccurs="0" nillable="true" type="xsd:date" name="SpouseDeathDate" form="qualified"/>
            <xsd:element minOccurs="0" nillable="true" type="xsd:date" name="SpouseDivorceDate" form="qualified"/>
          </xsd:sequence>
        </xsd:complexType>
      </xsd:element>
    </xsd:schema>
  </Schema>
  <Map ID="4" Name="BenefitsCalculation_Map" RootElement="BenefitsCalculation" SchemaID="Schema3"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xmlMaps" Target="xmlMaps.xml" /><Relationship Id="rId16"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123825</xdr:rowOff>
    </xdr:from>
    <xdr:to>
      <xdr:col>5</xdr:col>
      <xdr:colOff>9525</xdr:colOff>
      <xdr:row>30</xdr:row>
      <xdr:rowOff>76200</xdr:rowOff>
    </xdr:to>
    <xdr:sp>
      <xdr:nvSpPr>
        <xdr:cNvPr id="1" name="TextBox 1"/>
        <xdr:cNvSpPr txBox="1">
          <a:spLocks noChangeArrowheads="1"/>
        </xdr:cNvSpPr>
      </xdr:nvSpPr>
      <xdr:spPr>
        <a:xfrm>
          <a:off x="38100" y="5219700"/>
          <a:ext cx="68199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hereby apply for Retirement Benefits based on</a:t>
          </a:r>
          <a:r>
            <a:rPr lang="en-US" cap="none" sz="1100" b="1" i="0" u="none" baseline="0">
              <a:solidFill>
                <a:srgbClr val="000000"/>
              </a:solidFill>
              <a:latin typeface="Calibri"/>
              <a:ea typeface="Calibri"/>
              <a:cs typeface="Calibri"/>
            </a:rPr>
            <a:t> my pre-2001 years of Service Credit  for the Seventh-day Adventist Church in the territory of the Guam/Micronesia Mission.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28575</xdr:rowOff>
    </xdr:from>
    <xdr:to>
      <xdr:col>4</xdr:col>
      <xdr:colOff>38100</xdr:colOff>
      <xdr:row>32</xdr:row>
      <xdr:rowOff>142875</xdr:rowOff>
    </xdr:to>
    <xdr:sp>
      <xdr:nvSpPr>
        <xdr:cNvPr id="1" name="Text Box 1"/>
        <xdr:cNvSpPr txBox="1">
          <a:spLocks noChangeArrowheads="1"/>
        </xdr:cNvSpPr>
      </xdr:nvSpPr>
      <xdr:spPr>
        <a:xfrm>
          <a:off x="38100" y="3162300"/>
          <a:ext cx="6105525" cy="2219325"/>
        </a:xfrm>
        <a:prstGeom prst="rect">
          <a:avLst/>
        </a:prstGeom>
        <a:no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Dear Retiree: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Retirement Plan Committee has approved your application for retirement benefits. We are pleased to welcome you as you join approximately 17,000 other employees who have given significant years of service to the Seventh-day Adventist Church.
</a:t>
          </a:r>
          <a:r>
            <a:rPr lang="en-US" cap="none" sz="9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statement below shows your Guam-Micronesia benefits and the basis upon which they were calculated. Please review it and keep it where you can find it. For further answers to frequently asked questions, visit</a:t>
          </a:r>
          <a:r>
            <a:rPr lang="en-US" cap="none" sz="1000" b="0" i="0" u="none" baseline="0">
              <a:solidFill>
                <a:srgbClr val="000000"/>
              </a:solidFill>
              <a:latin typeface="Arial"/>
              <a:ea typeface="Arial"/>
              <a:cs typeface="Arial"/>
            </a:rPr>
            <a:t> our website at www.adventistretirement.org.</a:t>
          </a:r>
          <a:r>
            <a:rPr lang="en-US" cap="none" sz="100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further questions, please feel free to contact us at the e-mail address (preferred) or phone number shown on the letterhead above.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dmin\Del%20Johnson\Correspondence\2015\GMM\GMM%20Ben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Confirmation"/>
      <sheetName val="Service Analysis"/>
      <sheetName val="Tables"/>
    </sheetNames>
    <sheetDataSet>
      <sheetData sheetId="3">
        <row r="12">
          <cell r="O12">
            <v>1</v>
          </cell>
          <cell r="P12">
            <v>0.02</v>
          </cell>
          <cell r="Q12">
            <v>0.02</v>
          </cell>
        </row>
        <row r="13">
          <cell r="O13">
            <v>2</v>
          </cell>
          <cell r="P13">
            <v>0.02</v>
          </cell>
          <cell r="Q13">
            <v>0.04</v>
          </cell>
        </row>
        <row r="14">
          <cell r="O14">
            <v>3</v>
          </cell>
          <cell r="P14">
            <v>0.02</v>
          </cell>
          <cell r="Q14">
            <v>0.06</v>
          </cell>
        </row>
        <row r="15">
          <cell r="O15">
            <v>4</v>
          </cell>
          <cell r="P15">
            <v>0.02</v>
          </cell>
          <cell r="Q15">
            <v>0.08</v>
          </cell>
        </row>
        <row r="16">
          <cell r="O16">
            <v>5</v>
          </cell>
          <cell r="P16">
            <v>0.02</v>
          </cell>
          <cell r="Q16">
            <v>0.1</v>
          </cell>
        </row>
        <row r="17">
          <cell r="O17">
            <v>6</v>
          </cell>
          <cell r="P17">
            <v>0.02</v>
          </cell>
          <cell r="Q17">
            <v>0.12000000000000001</v>
          </cell>
        </row>
        <row r="18">
          <cell r="O18">
            <v>7</v>
          </cell>
          <cell r="P18">
            <v>0.02</v>
          </cell>
          <cell r="Q18">
            <v>0.14</v>
          </cell>
        </row>
        <row r="19">
          <cell r="O19">
            <v>8</v>
          </cell>
          <cell r="P19">
            <v>0.02</v>
          </cell>
          <cell r="Q19">
            <v>0.16</v>
          </cell>
        </row>
        <row r="20">
          <cell r="O20">
            <v>9</v>
          </cell>
          <cell r="P20">
            <v>0.02</v>
          </cell>
          <cell r="Q20">
            <v>0.18</v>
          </cell>
        </row>
        <row r="21">
          <cell r="O21">
            <v>10</v>
          </cell>
          <cell r="P21">
            <v>0.02</v>
          </cell>
          <cell r="Q21">
            <v>0.19999999999999998</v>
          </cell>
        </row>
        <row r="22">
          <cell r="O22">
            <v>11</v>
          </cell>
          <cell r="P22">
            <v>0.02</v>
          </cell>
          <cell r="Q22">
            <v>0.21999999999999997</v>
          </cell>
        </row>
        <row r="23">
          <cell r="O23">
            <v>12</v>
          </cell>
          <cell r="P23">
            <v>0.02</v>
          </cell>
          <cell r="Q23">
            <v>0.23999999999999996</v>
          </cell>
        </row>
        <row r="24">
          <cell r="G24" t="str">
            <v>Married</v>
          </cell>
          <cell r="O24">
            <v>13</v>
          </cell>
          <cell r="P24">
            <v>0.02</v>
          </cell>
          <cell r="Q24">
            <v>0.25999999999999995</v>
          </cell>
        </row>
        <row r="25">
          <cell r="G25" t="str">
            <v>Single</v>
          </cell>
          <cell r="O25">
            <v>14</v>
          </cell>
          <cell r="P25">
            <v>0.02</v>
          </cell>
          <cell r="Q25">
            <v>0.27999999999999997</v>
          </cell>
        </row>
        <row r="26">
          <cell r="G26" t="str">
            <v>Divorced</v>
          </cell>
          <cell r="O26">
            <v>15</v>
          </cell>
          <cell r="P26">
            <v>0.02</v>
          </cell>
          <cell r="Q26">
            <v>0.3</v>
          </cell>
        </row>
        <row r="27">
          <cell r="O27">
            <v>16</v>
          </cell>
          <cell r="P27">
            <v>0.01</v>
          </cell>
          <cell r="Q27">
            <v>0.31</v>
          </cell>
        </row>
        <row r="28">
          <cell r="O28">
            <v>17</v>
          </cell>
          <cell r="P28">
            <v>0.01</v>
          </cell>
          <cell r="Q28">
            <v>0.32</v>
          </cell>
        </row>
        <row r="29">
          <cell r="O29">
            <v>18</v>
          </cell>
          <cell r="P29">
            <v>0.01</v>
          </cell>
          <cell r="Q29">
            <v>0.33</v>
          </cell>
        </row>
        <row r="30">
          <cell r="O30">
            <v>19</v>
          </cell>
          <cell r="P30">
            <v>0.01</v>
          </cell>
          <cell r="Q30">
            <v>0.34</v>
          </cell>
        </row>
        <row r="31">
          <cell r="O31">
            <v>20</v>
          </cell>
          <cell r="P31">
            <v>0.01</v>
          </cell>
          <cell r="Q31">
            <v>0.35000000000000003</v>
          </cell>
        </row>
        <row r="32">
          <cell r="O32">
            <v>21</v>
          </cell>
          <cell r="P32">
            <v>0.015</v>
          </cell>
          <cell r="Q32">
            <v>0.36500000000000005</v>
          </cell>
        </row>
        <row r="33">
          <cell r="O33">
            <v>22</v>
          </cell>
          <cell r="P33">
            <v>0.015</v>
          </cell>
          <cell r="Q33">
            <v>0.38000000000000006</v>
          </cell>
        </row>
        <row r="34">
          <cell r="O34">
            <v>23</v>
          </cell>
          <cell r="P34">
            <v>0.015</v>
          </cell>
          <cell r="Q34">
            <v>0.3950000000000001</v>
          </cell>
        </row>
        <row r="35">
          <cell r="O35">
            <v>24</v>
          </cell>
          <cell r="P35">
            <v>0.015</v>
          </cell>
          <cell r="Q35">
            <v>0.4100000000000001</v>
          </cell>
        </row>
        <row r="36">
          <cell r="O36">
            <v>25</v>
          </cell>
          <cell r="P36">
            <v>0.015</v>
          </cell>
          <cell r="Q36">
            <v>0.4250000000000001</v>
          </cell>
        </row>
        <row r="37">
          <cell r="O37">
            <v>26</v>
          </cell>
          <cell r="P37">
            <v>0.015</v>
          </cell>
          <cell r="Q37">
            <v>0.4400000000000001</v>
          </cell>
        </row>
        <row r="38">
          <cell r="C38">
            <v>0</v>
          </cell>
          <cell r="D38">
            <v>0</v>
          </cell>
          <cell r="O38">
            <v>27</v>
          </cell>
          <cell r="P38">
            <v>0.015</v>
          </cell>
          <cell r="Q38">
            <v>0.4550000000000001</v>
          </cell>
        </row>
        <row r="39">
          <cell r="C39">
            <v>10</v>
          </cell>
          <cell r="D39">
            <v>0.01</v>
          </cell>
          <cell r="O39">
            <v>28</v>
          </cell>
          <cell r="P39">
            <v>0.015</v>
          </cell>
          <cell r="Q39">
            <v>0.47000000000000014</v>
          </cell>
        </row>
        <row r="40">
          <cell r="C40">
            <v>30</v>
          </cell>
          <cell r="D40">
            <v>0.02</v>
          </cell>
          <cell r="O40">
            <v>29</v>
          </cell>
          <cell r="P40">
            <v>0.015</v>
          </cell>
          <cell r="Q40">
            <v>0.48500000000000015</v>
          </cell>
        </row>
        <row r="41">
          <cell r="C41">
            <v>50</v>
          </cell>
          <cell r="D41">
            <v>0.03</v>
          </cell>
          <cell r="O41">
            <v>30</v>
          </cell>
          <cell r="P41">
            <v>0.015</v>
          </cell>
          <cell r="Q41">
            <v>0.5000000000000001</v>
          </cell>
        </row>
        <row r="42">
          <cell r="C42">
            <v>70</v>
          </cell>
          <cell r="D42">
            <v>0.04</v>
          </cell>
          <cell r="O42">
            <v>31</v>
          </cell>
          <cell r="P42">
            <v>0.02</v>
          </cell>
          <cell r="Q42">
            <v>0.5200000000000001</v>
          </cell>
        </row>
        <row r="43">
          <cell r="C43">
            <v>90</v>
          </cell>
          <cell r="D43">
            <v>0.05</v>
          </cell>
          <cell r="O43">
            <v>32</v>
          </cell>
          <cell r="P43">
            <v>0.02</v>
          </cell>
          <cell r="Q43">
            <v>0.5400000000000001</v>
          </cell>
        </row>
        <row r="44">
          <cell r="C44">
            <v>110</v>
          </cell>
          <cell r="D44">
            <v>0.060000000000000005</v>
          </cell>
          <cell r="O44">
            <v>33</v>
          </cell>
          <cell r="P44">
            <v>0.02</v>
          </cell>
          <cell r="Q44">
            <v>0.5600000000000002</v>
          </cell>
        </row>
        <row r="45">
          <cell r="C45">
            <v>130</v>
          </cell>
          <cell r="D45">
            <v>0.07</v>
          </cell>
          <cell r="O45">
            <v>34</v>
          </cell>
          <cell r="P45">
            <v>0.02</v>
          </cell>
          <cell r="Q45">
            <v>0.5800000000000002</v>
          </cell>
        </row>
        <row r="46">
          <cell r="C46">
            <v>150</v>
          </cell>
          <cell r="D46">
            <v>0.08</v>
          </cell>
          <cell r="O46">
            <v>35</v>
          </cell>
          <cell r="P46">
            <v>0.02</v>
          </cell>
          <cell r="Q46">
            <v>0.6000000000000002</v>
          </cell>
        </row>
        <row r="47">
          <cell r="C47">
            <v>170</v>
          </cell>
          <cell r="D47">
            <v>0.09</v>
          </cell>
          <cell r="O47">
            <v>36</v>
          </cell>
          <cell r="P47">
            <v>0.02</v>
          </cell>
          <cell r="Q47">
            <v>0.6200000000000002</v>
          </cell>
        </row>
        <row r="48">
          <cell r="C48">
            <v>190</v>
          </cell>
          <cell r="D48">
            <v>0.09999999999999999</v>
          </cell>
          <cell r="O48">
            <v>37</v>
          </cell>
          <cell r="P48">
            <v>0.02</v>
          </cell>
          <cell r="Q48">
            <v>0.6400000000000002</v>
          </cell>
        </row>
        <row r="49">
          <cell r="C49">
            <v>210</v>
          </cell>
          <cell r="D49">
            <v>0.10999999999999999</v>
          </cell>
          <cell r="O49">
            <v>38</v>
          </cell>
          <cell r="P49">
            <v>0.02</v>
          </cell>
          <cell r="Q49">
            <v>0.6600000000000003</v>
          </cell>
        </row>
        <row r="50">
          <cell r="C50">
            <v>230</v>
          </cell>
          <cell r="D50">
            <v>0.11999999999999998</v>
          </cell>
          <cell r="O50">
            <v>39</v>
          </cell>
          <cell r="P50">
            <v>0.02</v>
          </cell>
          <cell r="Q50">
            <v>0.6800000000000003</v>
          </cell>
        </row>
        <row r="51">
          <cell r="C51">
            <v>250</v>
          </cell>
          <cell r="D51">
            <v>0.12999999999999998</v>
          </cell>
          <cell r="O51">
            <v>40</v>
          </cell>
          <cell r="P51">
            <v>0.02</v>
          </cell>
          <cell r="Q51">
            <v>0.7000000000000003</v>
          </cell>
        </row>
        <row r="52">
          <cell r="C52">
            <v>270</v>
          </cell>
          <cell r="D52">
            <v>0.13999999999999999</v>
          </cell>
        </row>
        <row r="53">
          <cell r="C53">
            <v>290</v>
          </cell>
          <cell r="D53">
            <v>0.15</v>
          </cell>
        </row>
        <row r="54">
          <cell r="C54">
            <v>310</v>
          </cell>
          <cell r="D54">
            <v>0.16</v>
          </cell>
        </row>
        <row r="55">
          <cell r="C55">
            <v>330</v>
          </cell>
          <cell r="D55">
            <v>0.17</v>
          </cell>
        </row>
        <row r="56">
          <cell r="C56">
            <v>350</v>
          </cell>
          <cell r="D56">
            <v>0.18000000000000002</v>
          </cell>
        </row>
        <row r="57">
          <cell r="C57">
            <v>370</v>
          </cell>
          <cell r="D57">
            <v>0.19000000000000003</v>
          </cell>
        </row>
        <row r="58">
          <cell r="C58">
            <v>390</v>
          </cell>
          <cell r="D58">
            <v>0.20000000000000004</v>
          </cell>
        </row>
        <row r="59">
          <cell r="C59">
            <v>410</v>
          </cell>
          <cell r="D59">
            <v>0.21000000000000005</v>
          </cell>
        </row>
        <row r="60">
          <cell r="C60">
            <v>430</v>
          </cell>
          <cell r="D60">
            <v>0.22000000000000006</v>
          </cell>
        </row>
        <row r="61">
          <cell r="C61">
            <v>450</v>
          </cell>
          <cell r="D61">
            <v>0.23000000000000007</v>
          </cell>
        </row>
        <row r="62">
          <cell r="C62">
            <v>470</v>
          </cell>
          <cell r="D62">
            <v>0.24000000000000007</v>
          </cell>
        </row>
        <row r="63">
          <cell r="C63">
            <v>490</v>
          </cell>
          <cell r="D63">
            <v>0.25000000000000006</v>
          </cell>
        </row>
        <row r="64">
          <cell r="C64">
            <v>510</v>
          </cell>
          <cell r="D64">
            <v>0.26000000000000006</v>
          </cell>
        </row>
        <row r="65">
          <cell r="C65">
            <v>530</v>
          </cell>
          <cell r="D65">
            <v>0.2700000000000001</v>
          </cell>
        </row>
        <row r="66">
          <cell r="C66">
            <v>550</v>
          </cell>
          <cell r="D66">
            <v>0.2800000000000001</v>
          </cell>
        </row>
        <row r="67">
          <cell r="C67">
            <v>570</v>
          </cell>
          <cell r="D67">
            <v>0.2900000000000001</v>
          </cell>
        </row>
        <row r="68">
          <cell r="C68">
            <v>590</v>
          </cell>
          <cell r="D68">
            <v>0.3000000000000001</v>
          </cell>
        </row>
        <row r="69">
          <cell r="C69">
            <v>610</v>
          </cell>
          <cell r="D69">
            <v>0.3100000000000001</v>
          </cell>
        </row>
        <row r="70">
          <cell r="C70">
            <v>630</v>
          </cell>
          <cell r="D70">
            <v>0.3200000000000001</v>
          </cell>
        </row>
        <row r="71">
          <cell r="C71">
            <v>650</v>
          </cell>
          <cell r="D71">
            <v>0.3300000000000001</v>
          </cell>
        </row>
        <row r="72">
          <cell r="C72">
            <v>670</v>
          </cell>
          <cell r="D72">
            <v>0.34000000000000014</v>
          </cell>
        </row>
        <row r="73">
          <cell r="C73">
            <v>690</v>
          </cell>
          <cell r="D73">
            <v>0.35000000000000014</v>
          </cell>
        </row>
        <row r="74">
          <cell r="C74">
            <v>710</v>
          </cell>
          <cell r="D74">
            <v>0.36000000000000015</v>
          </cell>
        </row>
        <row r="75">
          <cell r="C75">
            <v>730</v>
          </cell>
          <cell r="D75">
            <v>0.37000000000000016</v>
          </cell>
        </row>
        <row r="76">
          <cell r="C76">
            <v>750</v>
          </cell>
          <cell r="D76">
            <v>0.38000000000000017</v>
          </cell>
        </row>
        <row r="77">
          <cell r="C77">
            <v>770</v>
          </cell>
          <cell r="D77">
            <v>0.3900000000000002</v>
          </cell>
        </row>
        <row r="78">
          <cell r="C78">
            <v>790</v>
          </cell>
          <cell r="D78">
            <v>0.4000000000000002</v>
          </cell>
        </row>
        <row r="79">
          <cell r="C79">
            <v>810</v>
          </cell>
          <cell r="D79">
            <v>0.4100000000000002</v>
          </cell>
        </row>
        <row r="80">
          <cell r="C80">
            <v>830</v>
          </cell>
          <cell r="D80">
            <v>0.4200000000000002</v>
          </cell>
        </row>
        <row r="81">
          <cell r="C81">
            <v>850</v>
          </cell>
          <cell r="D81">
            <v>0.4300000000000002</v>
          </cell>
        </row>
        <row r="82">
          <cell r="C82">
            <v>870</v>
          </cell>
          <cell r="D82">
            <v>0.4400000000000002</v>
          </cell>
        </row>
        <row r="83">
          <cell r="C83">
            <v>890</v>
          </cell>
          <cell r="D83">
            <v>0.45000000000000023</v>
          </cell>
        </row>
        <row r="84">
          <cell r="C84">
            <v>910</v>
          </cell>
          <cell r="D84">
            <v>0.46000000000000024</v>
          </cell>
        </row>
        <row r="85">
          <cell r="C85">
            <v>930</v>
          </cell>
          <cell r="D85">
            <v>0.47000000000000025</v>
          </cell>
        </row>
        <row r="86">
          <cell r="C86">
            <v>950</v>
          </cell>
          <cell r="D86">
            <v>0.48000000000000026</v>
          </cell>
        </row>
        <row r="87">
          <cell r="C87">
            <v>970</v>
          </cell>
          <cell r="D87">
            <v>0.49000000000000027</v>
          </cell>
        </row>
        <row r="88">
          <cell r="C88">
            <v>1000</v>
          </cell>
          <cell r="D88">
            <v>0.5000000000000002</v>
          </cell>
        </row>
        <row r="89">
          <cell r="C89">
            <v>1010</v>
          </cell>
          <cell r="D89">
            <v>0.5100000000000002</v>
          </cell>
        </row>
        <row r="90">
          <cell r="C90">
            <v>1029</v>
          </cell>
          <cell r="D90">
            <v>0.5200000000000002</v>
          </cell>
        </row>
        <row r="91">
          <cell r="C91">
            <v>1048</v>
          </cell>
          <cell r="D91">
            <v>0.5300000000000002</v>
          </cell>
        </row>
        <row r="92">
          <cell r="C92">
            <v>1067</v>
          </cell>
          <cell r="D92">
            <v>0.5400000000000003</v>
          </cell>
        </row>
        <row r="93">
          <cell r="C93">
            <v>1086</v>
          </cell>
          <cell r="D93">
            <v>0.5500000000000003</v>
          </cell>
        </row>
        <row r="94">
          <cell r="C94">
            <v>1105</v>
          </cell>
          <cell r="D94">
            <v>0.5600000000000003</v>
          </cell>
        </row>
        <row r="95">
          <cell r="C95">
            <v>1124</v>
          </cell>
          <cell r="D95">
            <v>0.5700000000000003</v>
          </cell>
        </row>
        <row r="96">
          <cell r="C96">
            <v>1143</v>
          </cell>
          <cell r="D96">
            <v>0.5800000000000003</v>
          </cell>
        </row>
        <row r="97">
          <cell r="C97">
            <v>1162</v>
          </cell>
          <cell r="D97">
            <v>0.5900000000000003</v>
          </cell>
        </row>
        <row r="98">
          <cell r="C98">
            <v>1181</v>
          </cell>
          <cell r="D98">
            <v>0.6000000000000003</v>
          </cell>
        </row>
        <row r="99">
          <cell r="C99">
            <v>1200</v>
          </cell>
          <cell r="D99">
            <v>0.6100000000000003</v>
          </cell>
        </row>
        <row r="100">
          <cell r="C100">
            <v>1219</v>
          </cell>
          <cell r="D100">
            <v>0.6200000000000003</v>
          </cell>
        </row>
        <row r="101">
          <cell r="C101">
            <v>1239</v>
          </cell>
          <cell r="D101">
            <v>0.6300000000000003</v>
          </cell>
        </row>
        <row r="102">
          <cell r="C102">
            <v>1257</v>
          </cell>
          <cell r="D102">
            <v>0.6400000000000003</v>
          </cell>
        </row>
        <row r="103">
          <cell r="C103">
            <v>1276</v>
          </cell>
          <cell r="D103">
            <v>0.6500000000000004</v>
          </cell>
        </row>
        <row r="104">
          <cell r="C104">
            <v>1295</v>
          </cell>
          <cell r="D104">
            <v>0.6600000000000004</v>
          </cell>
        </row>
        <row r="105">
          <cell r="C105">
            <v>1314</v>
          </cell>
          <cell r="D105">
            <v>0.6700000000000004</v>
          </cell>
        </row>
        <row r="106">
          <cell r="C106">
            <v>1333</v>
          </cell>
          <cell r="D106">
            <v>0.6800000000000004</v>
          </cell>
        </row>
        <row r="107">
          <cell r="C107">
            <v>1352</v>
          </cell>
          <cell r="D107">
            <v>0.6900000000000004</v>
          </cell>
        </row>
        <row r="108">
          <cell r="C108">
            <v>1371</v>
          </cell>
          <cell r="D108">
            <v>0.7000000000000004</v>
          </cell>
        </row>
        <row r="109">
          <cell r="C109">
            <v>1390</v>
          </cell>
          <cell r="D109">
            <v>0.7100000000000004</v>
          </cell>
        </row>
        <row r="110">
          <cell r="C110">
            <v>1409</v>
          </cell>
          <cell r="D110">
            <v>0.7200000000000004</v>
          </cell>
        </row>
        <row r="111">
          <cell r="C111">
            <v>1428</v>
          </cell>
          <cell r="D111">
            <v>0.7300000000000004</v>
          </cell>
        </row>
        <row r="112">
          <cell r="C112">
            <v>1447</v>
          </cell>
          <cell r="D112">
            <v>0.7400000000000004</v>
          </cell>
        </row>
        <row r="113">
          <cell r="C113">
            <v>1466</v>
          </cell>
          <cell r="D113">
            <v>0.7500000000000004</v>
          </cell>
        </row>
        <row r="114">
          <cell r="C114">
            <v>1485</v>
          </cell>
          <cell r="D114">
            <v>0.7600000000000005</v>
          </cell>
        </row>
        <row r="115">
          <cell r="C115">
            <v>1504</v>
          </cell>
          <cell r="D115">
            <v>0.7700000000000005</v>
          </cell>
        </row>
        <row r="116">
          <cell r="C116">
            <v>1523</v>
          </cell>
          <cell r="D116">
            <v>0.7800000000000005</v>
          </cell>
        </row>
        <row r="117">
          <cell r="C117">
            <v>1542</v>
          </cell>
          <cell r="D117">
            <v>0.7900000000000005</v>
          </cell>
        </row>
        <row r="118">
          <cell r="C118">
            <v>1561</v>
          </cell>
          <cell r="D118">
            <v>0.8000000000000005</v>
          </cell>
        </row>
        <row r="119">
          <cell r="C119">
            <v>1580</v>
          </cell>
          <cell r="D119">
            <v>0.8100000000000005</v>
          </cell>
        </row>
        <row r="120">
          <cell r="C120">
            <v>1599</v>
          </cell>
          <cell r="D120">
            <v>0.8200000000000005</v>
          </cell>
        </row>
        <row r="121">
          <cell r="C121">
            <v>1618</v>
          </cell>
          <cell r="D121">
            <v>0.8300000000000005</v>
          </cell>
        </row>
        <row r="122">
          <cell r="C122">
            <v>1637</v>
          </cell>
          <cell r="D122">
            <v>0.8400000000000005</v>
          </cell>
        </row>
        <row r="123">
          <cell r="C123">
            <v>1656</v>
          </cell>
          <cell r="D123">
            <v>0.8500000000000005</v>
          </cell>
        </row>
        <row r="124">
          <cell r="C124">
            <v>1675</v>
          </cell>
          <cell r="D124">
            <v>0.8600000000000005</v>
          </cell>
        </row>
        <row r="125">
          <cell r="C125">
            <v>1694</v>
          </cell>
          <cell r="D125">
            <v>0.8700000000000006</v>
          </cell>
        </row>
        <row r="126">
          <cell r="C126">
            <v>1713</v>
          </cell>
          <cell r="D126">
            <v>0.8800000000000006</v>
          </cell>
        </row>
        <row r="127">
          <cell r="C127">
            <v>1732</v>
          </cell>
          <cell r="D127">
            <v>0.8900000000000006</v>
          </cell>
        </row>
        <row r="128">
          <cell r="C128">
            <v>1751</v>
          </cell>
          <cell r="D128">
            <v>0.9000000000000006</v>
          </cell>
        </row>
        <row r="129">
          <cell r="C129">
            <v>1770</v>
          </cell>
          <cell r="D129">
            <v>0.9100000000000006</v>
          </cell>
        </row>
        <row r="130">
          <cell r="C130">
            <v>1789</v>
          </cell>
          <cell r="D130">
            <v>0.9200000000000006</v>
          </cell>
        </row>
        <row r="131">
          <cell r="C131">
            <v>1808</v>
          </cell>
          <cell r="D131">
            <v>0.9300000000000006</v>
          </cell>
        </row>
        <row r="132">
          <cell r="C132">
            <v>1827</v>
          </cell>
          <cell r="D132">
            <v>0.9400000000000006</v>
          </cell>
        </row>
        <row r="133">
          <cell r="C133">
            <v>1846</v>
          </cell>
          <cell r="D133">
            <v>0.9500000000000006</v>
          </cell>
        </row>
        <row r="134">
          <cell r="C134">
            <v>1865</v>
          </cell>
          <cell r="D134">
            <v>0.9600000000000006</v>
          </cell>
        </row>
        <row r="135">
          <cell r="C135">
            <v>1884</v>
          </cell>
          <cell r="D135">
            <v>0.9700000000000006</v>
          </cell>
        </row>
        <row r="136">
          <cell r="C136">
            <v>1903</v>
          </cell>
          <cell r="D136">
            <v>0.9800000000000006</v>
          </cell>
        </row>
        <row r="137">
          <cell r="C137">
            <v>1922</v>
          </cell>
          <cell r="D137">
            <v>0.9900000000000007</v>
          </cell>
        </row>
        <row r="138">
          <cell r="C138">
            <v>1950</v>
          </cell>
          <cell r="D138">
            <v>1.0000000000000007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h15/update/" TargetMode="External" /><Relationship Id="rId2" Type="http://schemas.openxmlformats.org/officeDocument/2006/relationships/hyperlink" Target="mailto:help@eadventist.org" TargetMode="External" /><Relationship Id="rId3" Type="http://schemas.openxmlformats.org/officeDocument/2006/relationships/hyperlink" Target="http://www.federalreserve.gov/releases/h15/data.ht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indexed="8"/>
  </sheetPr>
  <dimension ref="A1:V58"/>
  <sheetViews>
    <sheetView tabSelected="1" zoomScalePageLayoutView="0" workbookViewId="0" topLeftCell="A1">
      <selection activeCell="C4" sqref="C4"/>
    </sheetView>
  </sheetViews>
  <sheetFormatPr defaultColWidth="9.140625" defaultRowHeight="12.75"/>
  <cols>
    <col min="1" max="1" width="22.00390625" style="0" customWidth="1"/>
    <col min="2" max="2" width="7.00390625" style="0" bestFit="1" customWidth="1"/>
    <col min="3" max="3" width="32.00390625" style="0" customWidth="1"/>
    <col min="4" max="4" width="16.8515625" style="0" customWidth="1"/>
    <col min="5" max="5" width="8.140625" style="0" customWidth="1"/>
    <col min="6" max="6" width="9.00390625" style="0" customWidth="1"/>
    <col min="7" max="7" width="7.7109375" style="0" customWidth="1"/>
    <col min="8" max="8" width="9.28125" style="0" customWidth="1"/>
    <col min="9" max="9" width="8.140625" style="0" customWidth="1"/>
    <col min="10" max="10" width="9.8515625" style="0" customWidth="1"/>
    <col min="11" max="11" width="8.421875" style="0" customWidth="1"/>
    <col min="13" max="13" width="10.00390625" style="0" bestFit="1" customWidth="1"/>
    <col min="15" max="15" width="5.00390625" style="0" bestFit="1" customWidth="1"/>
    <col min="16" max="16" width="7.140625" style="0" bestFit="1" customWidth="1"/>
    <col min="17" max="17" width="9.421875" style="0" bestFit="1" customWidth="1"/>
    <col min="19" max="19" width="3.00390625" style="0" bestFit="1" customWidth="1"/>
    <col min="20" max="21" width="2.00390625" style="0" customWidth="1"/>
    <col min="22" max="23" width="4.00390625" style="0" bestFit="1" customWidth="1"/>
    <col min="24" max="24" width="12.140625" style="0" bestFit="1" customWidth="1"/>
    <col min="25" max="25" width="10.00390625" style="0" bestFit="1" customWidth="1"/>
    <col min="26" max="26" width="8.140625" style="0" bestFit="1" customWidth="1"/>
  </cols>
  <sheetData>
    <row r="1" spans="1:16" ht="26.25" customHeight="1" thickBot="1">
      <c r="A1" s="516" t="s">
        <v>208</v>
      </c>
      <c r="B1" s="517"/>
      <c r="C1" s="517"/>
      <c r="D1" s="518"/>
      <c r="E1" s="529"/>
      <c r="F1" s="529"/>
      <c r="G1" s="529"/>
      <c r="H1" s="529"/>
      <c r="I1" s="529"/>
      <c r="J1" s="529"/>
      <c r="K1" s="529"/>
      <c r="L1" s="529"/>
      <c r="M1" s="529"/>
      <c r="N1" s="529"/>
      <c r="O1" s="529"/>
      <c r="P1" s="529"/>
    </row>
    <row r="2" spans="1:16" ht="12.75" customHeight="1">
      <c r="A2" s="519" t="s">
        <v>880</v>
      </c>
      <c r="B2" s="520"/>
      <c r="C2" s="521"/>
      <c r="E2" s="529"/>
      <c r="F2" s="529"/>
      <c r="G2" s="529"/>
      <c r="H2" s="529"/>
      <c r="I2" s="529"/>
      <c r="J2" s="529"/>
      <c r="K2" s="529"/>
      <c r="L2" s="529"/>
      <c r="M2" s="529"/>
      <c r="N2" s="529"/>
      <c r="O2" s="529"/>
      <c r="P2" s="529"/>
    </row>
    <row r="3" spans="1:15" ht="13.5" thickBot="1">
      <c r="A3" s="124"/>
      <c r="B3" s="125"/>
      <c r="C3" s="400"/>
      <c r="F3" s="5"/>
      <c r="G3" s="5"/>
      <c r="H3" s="5"/>
      <c r="I3" s="5"/>
      <c r="J3" s="5"/>
      <c r="K3" s="5"/>
      <c r="L3" s="5"/>
      <c r="M3" s="5"/>
      <c r="N3" s="5"/>
      <c r="O3" s="5"/>
    </row>
    <row r="4" spans="1:15" ht="12.75" customHeight="1">
      <c r="A4" s="20" t="s">
        <v>209</v>
      </c>
      <c r="B4" s="52"/>
      <c r="C4" s="191"/>
      <c r="D4" s="396"/>
      <c r="E4" s="116" t="s">
        <v>226</v>
      </c>
      <c r="J4" s="5"/>
      <c r="K4" s="5"/>
      <c r="L4" s="5"/>
      <c r="M4" s="5"/>
      <c r="N4" s="5"/>
      <c r="O4" s="5"/>
    </row>
    <row r="5" spans="1:4" ht="12.75" customHeight="1">
      <c r="A5" s="20" t="s">
        <v>780</v>
      </c>
      <c r="B5" s="52"/>
      <c r="C5" s="192"/>
      <c r="D5" s="396"/>
    </row>
    <row r="6" spans="1:22" s="20" customFormat="1" ht="12.75" customHeight="1">
      <c r="A6" s="20" t="s">
        <v>210</v>
      </c>
      <c r="B6" s="52"/>
      <c r="C6" s="192"/>
      <c r="D6" s="396"/>
      <c r="E6" s="116" t="s">
        <v>701</v>
      </c>
      <c r="P6"/>
      <c r="Q6"/>
      <c r="R6"/>
      <c r="S6"/>
      <c r="T6"/>
      <c r="U6"/>
      <c r="V6"/>
    </row>
    <row r="7" spans="1:4" ht="12.75" customHeight="1">
      <c r="A7" s="20" t="s">
        <v>685</v>
      </c>
      <c r="B7" s="52"/>
      <c r="C7" s="192"/>
      <c r="D7" s="396"/>
    </row>
    <row r="8" spans="1:3" ht="12.75" customHeight="1" thickBot="1">
      <c r="A8" s="20" t="s">
        <v>686</v>
      </c>
      <c r="B8" s="52"/>
      <c r="C8" s="192"/>
    </row>
    <row r="9" spans="1:15" ht="12.75" customHeight="1">
      <c r="A9" s="20" t="s">
        <v>769</v>
      </c>
      <c r="B9" s="52"/>
      <c r="C9" s="192"/>
      <c r="E9" s="157" t="s">
        <v>858</v>
      </c>
      <c r="F9" s="7"/>
      <c r="G9" s="7"/>
      <c r="H9" s="7"/>
      <c r="I9" s="7"/>
      <c r="J9" s="7"/>
      <c r="K9" s="7"/>
      <c r="L9" s="7"/>
      <c r="M9" s="7"/>
      <c r="N9" s="7"/>
      <c r="O9" s="24"/>
    </row>
    <row r="10" spans="1:15" ht="12.75" customHeight="1">
      <c r="A10" s="20" t="s">
        <v>770</v>
      </c>
      <c r="B10" s="52"/>
      <c r="C10" s="192"/>
      <c r="E10" s="27"/>
      <c r="F10" s="5"/>
      <c r="G10" s="5"/>
      <c r="H10" s="5"/>
      <c r="I10" s="5"/>
      <c r="J10" s="5"/>
      <c r="K10" s="5"/>
      <c r="L10" s="5"/>
      <c r="M10" s="5"/>
      <c r="N10" s="5"/>
      <c r="O10" s="9"/>
    </row>
    <row r="11" spans="1:15" ht="12.75" customHeight="1">
      <c r="A11" s="20" t="s">
        <v>207</v>
      </c>
      <c r="B11" s="52"/>
      <c r="C11" s="192"/>
      <c r="D11">
        <v>1</v>
      </c>
      <c r="E11" s="10" t="s">
        <v>859</v>
      </c>
      <c r="F11" s="5"/>
      <c r="G11" s="5"/>
      <c r="H11" s="5"/>
      <c r="I11" s="5"/>
      <c r="J11" s="5"/>
      <c r="K11" s="5"/>
      <c r="L11" s="5"/>
      <c r="M11" s="5"/>
      <c r="N11" s="5"/>
      <c r="O11" s="9"/>
    </row>
    <row r="12" spans="1:15" ht="12.75" customHeight="1">
      <c r="A12" s="20" t="s">
        <v>796</v>
      </c>
      <c r="B12" s="52"/>
      <c r="C12" s="192"/>
      <c r="D12">
        <v>2</v>
      </c>
      <c r="E12" s="10" t="s">
        <v>860</v>
      </c>
      <c r="F12" s="5"/>
      <c r="G12" s="5"/>
      <c r="H12" s="5"/>
      <c r="I12" s="5"/>
      <c r="J12" s="5"/>
      <c r="K12" s="5"/>
      <c r="L12" s="5"/>
      <c r="M12" s="5"/>
      <c r="N12" s="5"/>
      <c r="O12" s="9"/>
    </row>
    <row r="13" spans="1:15" ht="12.75" customHeight="1">
      <c r="A13" s="20" t="s">
        <v>211</v>
      </c>
      <c r="B13" s="52"/>
      <c r="C13" s="418"/>
      <c r="D13">
        <v>3</v>
      </c>
      <c r="E13" s="10" t="s">
        <v>861</v>
      </c>
      <c r="F13" s="5"/>
      <c r="G13" s="5"/>
      <c r="H13" s="5"/>
      <c r="I13" s="5"/>
      <c r="J13" s="5"/>
      <c r="K13" s="5"/>
      <c r="L13" s="5"/>
      <c r="M13" s="5"/>
      <c r="N13" s="5"/>
      <c r="O13" s="9"/>
    </row>
    <row r="14" spans="1:15" ht="12.75" customHeight="1">
      <c r="A14" s="20" t="s">
        <v>687</v>
      </c>
      <c r="B14" s="52"/>
      <c r="C14" s="192"/>
      <c r="D14">
        <v>4</v>
      </c>
      <c r="E14" s="10" t="s">
        <v>862</v>
      </c>
      <c r="F14" s="5"/>
      <c r="G14" s="5"/>
      <c r="H14" s="5"/>
      <c r="I14" s="5"/>
      <c r="J14" s="5"/>
      <c r="K14" s="5"/>
      <c r="L14" s="5"/>
      <c r="M14" s="5"/>
      <c r="N14" s="5"/>
      <c r="O14" s="9"/>
    </row>
    <row r="15" spans="1:15" ht="12.75" customHeight="1">
      <c r="A15" s="20" t="s">
        <v>143</v>
      </c>
      <c r="B15" s="52"/>
      <c r="C15" s="192"/>
      <c r="D15" s="121">
        <v>5</v>
      </c>
      <c r="E15" s="158" t="s">
        <v>863</v>
      </c>
      <c r="F15" s="5"/>
      <c r="G15" s="5"/>
      <c r="H15" s="5"/>
      <c r="I15" s="5"/>
      <c r="J15" s="5"/>
      <c r="K15" s="5"/>
      <c r="L15" s="5"/>
      <c r="M15" s="5"/>
      <c r="N15" s="5"/>
      <c r="O15" s="9"/>
    </row>
    <row r="16" spans="1:15" ht="12.75" customHeight="1">
      <c r="A16" s="20" t="s">
        <v>789</v>
      </c>
      <c r="B16" s="52"/>
      <c r="C16" s="193"/>
      <c r="D16">
        <v>6</v>
      </c>
      <c r="E16" s="10" t="s">
        <v>864</v>
      </c>
      <c r="F16" s="5"/>
      <c r="G16" s="5"/>
      <c r="H16" s="5"/>
      <c r="I16" s="5"/>
      <c r="J16" s="5"/>
      <c r="K16" s="5"/>
      <c r="L16" s="5"/>
      <c r="M16" s="5"/>
      <c r="N16" s="5"/>
      <c r="O16" s="9"/>
    </row>
    <row r="17" spans="1:15" ht="12.75" customHeight="1">
      <c r="A17" s="20" t="s">
        <v>212</v>
      </c>
      <c r="B17" s="52"/>
      <c r="C17" s="201"/>
      <c r="D17">
        <v>7</v>
      </c>
      <c r="E17" s="10" t="s">
        <v>865</v>
      </c>
      <c r="F17" s="5"/>
      <c r="G17" s="5"/>
      <c r="H17" s="5"/>
      <c r="I17" s="5"/>
      <c r="J17" s="122"/>
      <c r="K17" s="5"/>
      <c r="L17" s="5"/>
      <c r="M17" s="5"/>
      <c r="N17" s="5"/>
      <c r="O17" s="9"/>
    </row>
    <row r="18" spans="1:17" ht="12.75" customHeight="1" thickBot="1">
      <c r="A18" s="20" t="s">
        <v>688</v>
      </c>
      <c r="B18" s="52"/>
      <c r="C18" s="192"/>
      <c r="D18">
        <v>8</v>
      </c>
      <c r="E18" s="11" t="s">
        <v>866</v>
      </c>
      <c r="F18" s="8"/>
      <c r="G18" s="8"/>
      <c r="H18" s="8"/>
      <c r="I18" s="8"/>
      <c r="J18" s="8"/>
      <c r="K18" s="8"/>
      <c r="L18" s="8"/>
      <c r="M18" s="8"/>
      <c r="N18" s="8"/>
      <c r="O18" s="32"/>
      <c r="Q18" s="40"/>
    </row>
    <row r="19" spans="1:17" ht="12.75" customHeight="1">
      <c r="A19" s="20" t="s">
        <v>214</v>
      </c>
      <c r="B19" s="52"/>
      <c r="C19" s="192"/>
      <c r="Q19" s="40"/>
    </row>
    <row r="20" spans="1:17" ht="12.75" customHeight="1">
      <c r="A20" s="20" t="s">
        <v>213</v>
      </c>
      <c r="B20" s="52"/>
      <c r="C20" s="441"/>
      <c r="P20" s="40"/>
      <c r="Q20" s="40"/>
    </row>
    <row r="21" spans="1:3" ht="12.75" customHeight="1">
      <c r="A21" s="20" t="s">
        <v>689</v>
      </c>
      <c r="B21" s="52"/>
      <c r="C21" s="194"/>
    </row>
    <row r="22" spans="1:15" ht="12.75" customHeight="1">
      <c r="A22" s="20" t="s">
        <v>152</v>
      </c>
      <c r="B22" s="52"/>
      <c r="C22" s="195"/>
      <c r="D22" s="437"/>
      <c r="E22" s="528"/>
      <c r="F22" s="528"/>
      <c r="G22" s="528"/>
      <c r="H22" s="528"/>
      <c r="I22" s="528"/>
      <c r="J22" s="528"/>
      <c r="K22" s="528"/>
      <c r="L22" s="528"/>
      <c r="M22" s="528"/>
      <c r="N22" s="528"/>
      <c r="O22" s="528"/>
    </row>
    <row r="23" spans="1:15" ht="12.75" customHeight="1">
      <c r="A23" s="20" t="s">
        <v>167</v>
      </c>
      <c r="B23" s="52"/>
      <c r="C23" s="195"/>
      <c r="D23" s="438"/>
      <c r="E23" s="528"/>
      <c r="F23" s="528"/>
      <c r="G23" s="528"/>
      <c r="H23" s="528"/>
      <c r="I23" s="528"/>
      <c r="J23" s="528"/>
      <c r="K23" s="528"/>
      <c r="L23" s="528"/>
      <c r="M23" s="528"/>
      <c r="N23" s="528"/>
      <c r="O23" s="528"/>
    </row>
    <row r="24" spans="1:15" ht="12.75" customHeight="1">
      <c r="A24" s="20" t="s">
        <v>216</v>
      </c>
      <c r="B24" s="52"/>
      <c r="C24" s="192"/>
      <c r="D24" s="439"/>
      <c r="E24" s="528"/>
      <c r="F24" s="528"/>
      <c r="G24" s="528"/>
      <c r="H24" s="528"/>
      <c r="I24" s="528"/>
      <c r="J24" s="528"/>
      <c r="K24" s="528"/>
      <c r="L24" s="528"/>
      <c r="M24" s="528"/>
      <c r="N24" s="528"/>
      <c r="O24" s="528"/>
    </row>
    <row r="25" spans="1:15" ht="12.75" customHeight="1">
      <c r="A25" s="20" t="s">
        <v>215</v>
      </c>
      <c r="B25" s="52"/>
      <c r="C25" s="192"/>
      <c r="D25" s="438"/>
      <c r="E25" s="528"/>
      <c r="F25" s="528"/>
      <c r="G25" s="528"/>
      <c r="H25" s="528"/>
      <c r="I25" s="528"/>
      <c r="J25" s="528"/>
      <c r="K25" s="528"/>
      <c r="L25" s="528"/>
      <c r="M25" s="528"/>
      <c r="N25" s="528"/>
      <c r="O25" s="528"/>
    </row>
    <row r="26" spans="1:15" ht="12.75" customHeight="1">
      <c r="A26" s="20" t="s">
        <v>144</v>
      </c>
      <c r="B26" s="52"/>
      <c r="C26" s="195"/>
      <c r="D26" s="440"/>
      <c r="E26" s="528"/>
      <c r="F26" s="528"/>
      <c r="G26" s="528"/>
      <c r="H26" s="528"/>
      <c r="I26" s="528"/>
      <c r="J26" s="528"/>
      <c r="K26" s="528"/>
      <c r="L26" s="528"/>
      <c r="M26" s="528"/>
      <c r="N26" s="528"/>
      <c r="O26" s="528"/>
    </row>
    <row r="27" spans="1:17" ht="12.75" customHeight="1">
      <c r="A27" s="20" t="s">
        <v>690</v>
      </c>
      <c r="B27" s="52"/>
      <c r="C27" s="195"/>
      <c r="D27" s="123"/>
      <c r="E27" s="528"/>
      <c r="F27" s="528"/>
      <c r="G27" s="528"/>
      <c r="H27" s="528"/>
      <c r="I27" s="528"/>
      <c r="J27" s="528"/>
      <c r="K27" s="528"/>
      <c r="L27" s="528"/>
      <c r="M27" s="528"/>
      <c r="N27" s="528"/>
      <c r="O27" s="528"/>
      <c r="P27" s="156"/>
      <c r="Q27" s="156"/>
    </row>
    <row r="28" spans="1:17" ht="12.75" customHeight="1">
      <c r="A28" s="20" t="s">
        <v>377</v>
      </c>
      <c r="B28" s="52"/>
      <c r="C28" s="195"/>
      <c r="N28" s="156"/>
      <c r="O28" s="156"/>
      <c r="P28" s="156"/>
      <c r="Q28" s="156"/>
    </row>
    <row r="29" spans="1:17" ht="12.75" customHeight="1">
      <c r="A29" s="20" t="s">
        <v>697</v>
      </c>
      <c r="B29" s="52"/>
      <c r="C29" s="192"/>
      <c r="N29" s="156"/>
      <c r="O29" s="156"/>
      <c r="P29" s="156"/>
      <c r="Q29" s="156"/>
    </row>
    <row r="30" spans="1:17" ht="12.75" customHeight="1">
      <c r="A30" s="20" t="s">
        <v>698</v>
      </c>
      <c r="B30" s="52"/>
      <c r="C30" s="197"/>
      <c r="E30" s="527" t="s">
        <v>700</v>
      </c>
      <c r="F30" s="527"/>
      <c r="G30" s="527"/>
      <c r="H30" s="527"/>
      <c r="I30" s="527"/>
      <c r="J30" s="527"/>
      <c r="K30" s="527"/>
      <c r="L30" s="527"/>
      <c r="M30" s="527"/>
      <c r="N30" s="172"/>
      <c r="O30" s="172"/>
      <c r="P30" s="172"/>
      <c r="Q30" s="172"/>
    </row>
    <row r="31" spans="1:17" ht="12.75" customHeight="1">
      <c r="A31" s="20" t="s">
        <v>691</v>
      </c>
      <c r="B31" s="52"/>
      <c r="C31" s="192"/>
      <c r="D31" s="396"/>
      <c r="E31" s="527"/>
      <c r="F31" s="527"/>
      <c r="G31" s="527"/>
      <c r="H31" s="527"/>
      <c r="I31" s="527"/>
      <c r="J31" s="527"/>
      <c r="K31" s="527"/>
      <c r="L31" s="527"/>
      <c r="M31" s="527"/>
      <c r="N31" s="172"/>
      <c r="O31" s="172"/>
      <c r="P31" s="172"/>
      <c r="Q31" s="172"/>
    </row>
    <row r="32" spans="1:13" ht="12.75" customHeight="1">
      <c r="A32" s="20" t="s">
        <v>781</v>
      </c>
      <c r="B32" s="52"/>
      <c r="C32" s="192"/>
      <c r="D32" s="396"/>
      <c r="E32" s="527"/>
      <c r="F32" s="527"/>
      <c r="G32" s="527"/>
      <c r="H32" s="527"/>
      <c r="I32" s="527"/>
      <c r="J32" s="527"/>
      <c r="K32" s="527"/>
      <c r="L32" s="527"/>
      <c r="M32" s="527"/>
    </row>
    <row r="33" spans="1:13" ht="12.75" customHeight="1">
      <c r="A33" s="20" t="s">
        <v>692</v>
      </c>
      <c r="B33" s="52"/>
      <c r="C33" s="192"/>
      <c r="D33" s="396"/>
      <c r="F33" s="174"/>
      <c r="G33" s="175"/>
      <c r="H33" s="175"/>
      <c r="I33" s="175"/>
      <c r="J33" s="175"/>
      <c r="K33" s="175"/>
      <c r="L33" s="175"/>
      <c r="M33" s="175"/>
    </row>
    <row r="34" spans="1:13" ht="12.75" customHeight="1">
      <c r="A34" s="20" t="s">
        <v>693</v>
      </c>
      <c r="B34" s="52"/>
      <c r="C34" s="192"/>
      <c r="D34" s="37"/>
      <c r="F34" s="175"/>
      <c r="G34" s="175"/>
      <c r="H34" s="175"/>
      <c r="I34" s="175"/>
      <c r="J34" s="175"/>
      <c r="K34" s="175"/>
      <c r="L34" s="175"/>
      <c r="M34" s="175"/>
    </row>
    <row r="35" spans="1:13" ht="12.75" customHeight="1">
      <c r="A35" s="20" t="s">
        <v>694</v>
      </c>
      <c r="B35" s="52"/>
      <c r="C35" s="197"/>
      <c r="E35" s="522"/>
      <c r="F35" s="522"/>
      <c r="G35" s="522"/>
      <c r="H35" s="522"/>
      <c r="I35" s="522"/>
      <c r="J35" s="522"/>
      <c r="K35" s="433"/>
      <c r="L35" s="433"/>
      <c r="M35" s="175"/>
    </row>
    <row r="36" spans="1:13" ht="12.75" customHeight="1">
      <c r="A36" s="20" t="s">
        <v>149</v>
      </c>
      <c r="B36" s="52"/>
      <c r="C36" s="192"/>
      <c r="E36" s="434"/>
      <c r="F36" s="435"/>
      <c r="G36" s="435"/>
      <c r="H36" s="435"/>
      <c r="I36" s="435"/>
      <c r="J36" s="435"/>
      <c r="K36" s="433"/>
      <c r="L36" s="433"/>
      <c r="M36" s="175"/>
    </row>
    <row r="37" spans="1:12" ht="12.75" customHeight="1">
      <c r="A37" s="20" t="s">
        <v>695</v>
      </c>
      <c r="B37" s="52"/>
      <c r="C37" s="196"/>
      <c r="E37" s="436"/>
      <c r="F37" s="435"/>
      <c r="G37" s="522"/>
      <c r="H37" s="522"/>
      <c r="I37" s="522"/>
      <c r="J37" s="522"/>
      <c r="K37" s="5"/>
      <c r="L37" s="5"/>
    </row>
    <row r="38" spans="1:12" ht="12.75" customHeight="1">
      <c r="A38" s="20" t="s">
        <v>217</v>
      </c>
      <c r="B38" s="52"/>
      <c r="C38" s="195"/>
      <c r="E38" s="436"/>
      <c r="F38" s="435"/>
      <c r="G38" s="522"/>
      <c r="H38" s="522"/>
      <c r="I38" s="522"/>
      <c r="J38" s="522"/>
      <c r="K38" s="5"/>
      <c r="L38" s="5"/>
    </row>
    <row r="39" spans="1:12" ht="12.75" customHeight="1" thickBot="1">
      <c r="A39" s="20" t="s">
        <v>696</v>
      </c>
      <c r="B39" s="52"/>
      <c r="C39" s="198"/>
      <c r="E39" s="436"/>
      <c r="F39" s="435"/>
      <c r="G39" s="522"/>
      <c r="H39" s="522"/>
      <c r="I39" s="522"/>
      <c r="J39" s="522"/>
      <c r="K39" s="5"/>
      <c r="L39" s="5"/>
    </row>
    <row r="40" spans="1:12" ht="12.75" customHeight="1">
      <c r="A40" s="45"/>
      <c r="E40" s="436"/>
      <c r="F40" s="435"/>
      <c r="G40" s="523"/>
      <c r="H40" s="523"/>
      <c r="I40" s="523"/>
      <c r="J40" s="523"/>
      <c r="K40" s="5"/>
      <c r="L40" s="5"/>
    </row>
    <row r="41" spans="1:12" ht="12.75" customHeight="1">
      <c r="A41" s="20" t="s">
        <v>847</v>
      </c>
      <c r="C41" s="421"/>
      <c r="D41" s="123"/>
      <c r="E41" s="436"/>
      <c r="F41" s="435"/>
      <c r="G41" s="525"/>
      <c r="H41" s="526"/>
      <c r="I41" s="526"/>
      <c r="J41" s="526"/>
      <c r="K41" s="5"/>
      <c r="L41" s="5"/>
    </row>
    <row r="42" spans="1:12" ht="12.75" customHeight="1">
      <c r="A42" s="20" t="s">
        <v>851</v>
      </c>
      <c r="C42" s="422"/>
      <c r="D42" s="28"/>
      <c r="E42" s="436"/>
      <c r="F42" s="435"/>
      <c r="G42" s="524"/>
      <c r="H42" s="524"/>
      <c r="I42" s="524"/>
      <c r="J42" s="524"/>
      <c r="K42" s="5"/>
      <c r="L42" s="5"/>
    </row>
    <row r="43" spans="1:4" ht="12.75" customHeight="1">
      <c r="A43" s="20" t="s">
        <v>852</v>
      </c>
      <c r="C43" s="423"/>
      <c r="D43" s="28"/>
    </row>
    <row r="44" spans="1:4" ht="12.75" customHeight="1">
      <c r="A44" s="401" t="s">
        <v>817</v>
      </c>
      <c r="C44" s="424"/>
      <c r="D44" s="28"/>
    </row>
    <row r="45" spans="1:5" ht="12.75">
      <c r="A45" s="20" t="s">
        <v>812</v>
      </c>
      <c r="C45" s="425"/>
      <c r="D45" s="28"/>
      <c r="E45" s="28"/>
    </row>
    <row r="46" spans="1:5" ht="12.75">
      <c r="A46" s="45" t="s">
        <v>853</v>
      </c>
      <c r="C46" s="422"/>
      <c r="D46" s="28"/>
      <c r="E46" s="28"/>
    </row>
    <row r="47" spans="1:5" ht="12.75">
      <c r="A47" s="45" t="s">
        <v>855</v>
      </c>
      <c r="C47" s="422"/>
      <c r="E47" s="147"/>
    </row>
    <row r="48" ht="12.75">
      <c r="E48" s="28"/>
    </row>
    <row r="49" ht="12.75">
      <c r="E49" s="28"/>
    </row>
    <row r="50" ht="12.75">
      <c r="E50" s="28"/>
    </row>
    <row r="51" spans="1:3" ht="12.75">
      <c r="A51" s="132"/>
      <c r="B51" s="123"/>
      <c r="C51" s="123"/>
    </row>
    <row r="52" spans="1:3" ht="12.75">
      <c r="A52" s="111"/>
      <c r="B52" s="28"/>
      <c r="C52" s="28"/>
    </row>
    <row r="53" spans="1:3" ht="12.75">
      <c r="A53" s="102"/>
      <c r="B53" s="28"/>
      <c r="C53" s="28"/>
    </row>
    <row r="54" spans="1:3" ht="12.75">
      <c r="A54" s="103"/>
      <c r="B54" s="28"/>
      <c r="C54" s="28"/>
    </row>
    <row r="55" spans="1:3" ht="12.75">
      <c r="A55" s="111"/>
      <c r="B55" s="28"/>
      <c r="C55" s="28"/>
    </row>
    <row r="56" spans="1:3" ht="12.75">
      <c r="A56" s="103"/>
      <c r="B56" s="28"/>
      <c r="C56" s="28"/>
    </row>
    <row r="57" spans="1:3" ht="12.75">
      <c r="A57" s="147"/>
      <c r="B57" s="147"/>
      <c r="C57" s="147"/>
    </row>
    <row r="58" spans="1:3" ht="12.75">
      <c r="A58" s="103"/>
      <c r="B58" s="28"/>
      <c r="C58" s="28"/>
    </row>
  </sheetData>
  <sheetProtection selectLockedCells="1"/>
  <mergeCells count="12">
    <mergeCell ref="G42:J42"/>
    <mergeCell ref="G41:J41"/>
    <mergeCell ref="E35:J35"/>
    <mergeCell ref="E30:M32"/>
    <mergeCell ref="E22:O27"/>
    <mergeCell ref="E1:P2"/>
    <mergeCell ref="A1:D1"/>
    <mergeCell ref="A2:C2"/>
    <mergeCell ref="G37:J37"/>
    <mergeCell ref="G38:J38"/>
    <mergeCell ref="G39:J39"/>
    <mergeCell ref="G40:J40"/>
  </mergeCells>
  <dataValidations count="2">
    <dataValidation type="list" allowBlank="1" showInputMessage="1" showErrorMessage="1" sqref="C41">
      <formula1>NY</formula1>
    </dataValidation>
    <dataValidation type="list" showInputMessage="1" showErrorMessage="1" sqref="C44">
      <formula1>Location</formula1>
    </dataValidation>
  </dataValidation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0:Q138"/>
  <sheetViews>
    <sheetView zoomScalePageLayoutView="0" workbookViewId="0" topLeftCell="A1">
      <selection activeCell="H4" sqref="H4"/>
    </sheetView>
  </sheetViews>
  <sheetFormatPr defaultColWidth="9.140625" defaultRowHeight="12.75"/>
  <cols>
    <col min="1" max="4" width="9.140625" style="129" customWidth="1"/>
    <col min="5" max="5" width="11.140625" style="129" customWidth="1"/>
    <col min="6" max="8" width="9.140625" style="129" customWidth="1"/>
    <col min="9" max="9" width="10.57421875" style="129" customWidth="1"/>
    <col min="10" max="16384" width="9.140625" style="129" customWidth="1"/>
  </cols>
  <sheetData>
    <row r="9" ht="13.5" thickBot="1"/>
    <row r="10" spans="1:15" ht="15" thickBot="1">
      <c r="A10" s="530" t="s">
        <v>777</v>
      </c>
      <c r="B10" s="532"/>
      <c r="C10" s="530" t="s">
        <v>776</v>
      </c>
      <c r="D10" s="531"/>
      <c r="E10" s="532"/>
      <c r="F10"/>
      <c r="G10" s="401" t="s">
        <v>879</v>
      </c>
      <c r="O10" s="401" t="s">
        <v>833</v>
      </c>
    </row>
    <row r="11" spans="1:17" ht="14.25">
      <c r="A11" s="323" t="s">
        <v>112</v>
      </c>
      <c r="B11" s="325" t="s">
        <v>9</v>
      </c>
      <c r="C11" s="326">
        <v>0</v>
      </c>
      <c r="D11" s="329">
        <v>0</v>
      </c>
      <c r="E11" s="320">
        <v>0</v>
      </c>
      <c r="F11"/>
      <c r="G11" s="405">
        <v>2007</v>
      </c>
      <c r="H11" s="406"/>
      <c r="I11" s="407">
        <v>2770</v>
      </c>
      <c r="J11" s="407"/>
      <c r="K11" s="407">
        <v>1385</v>
      </c>
      <c r="L11" s="407">
        <v>22208.33</v>
      </c>
      <c r="M11" s="408" t="s">
        <v>834</v>
      </c>
      <c r="O11" s="401" t="s">
        <v>10</v>
      </c>
      <c r="P11" s="401" t="s">
        <v>835</v>
      </c>
      <c r="Q11" s="401" t="s">
        <v>836</v>
      </c>
    </row>
    <row r="12" spans="1:17" ht="12.75">
      <c r="A12" s="324">
        <v>0</v>
      </c>
      <c r="B12" s="285">
        <v>0.8</v>
      </c>
      <c r="C12" s="327">
        <v>0.25</v>
      </c>
      <c r="D12" s="330">
        <v>0.02</v>
      </c>
      <c r="E12" s="316">
        <v>0.25</v>
      </c>
      <c r="F12"/>
      <c r="G12" s="405">
        <v>2008</v>
      </c>
      <c r="H12" s="406"/>
      <c r="I12" s="409">
        <v>2850</v>
      </c>
      <c r="J12" s="409"/>
      <c r="K12" s="407">
        <v>1425</v>
      </c>
      <c r="L12" s="407">
        <v>23291.66</v>
      </c>
      <c r="M12" s="407" t="s">
        <v>834</v>
      </c>
      <c r="O12" s="129">
        <v>1</v>
      </c>
      <c r="P12" s="410">
        <v>0.02</v>
      </c>
      <c r="Q12" s="410">
        <f>P12</f>
        <v>0.02</v>
      </c>
    </row>
    <row r="13" spans="1:17" ht="12.75">
      <c r="A13" s="295">
        <v>0.75</v>
      </c>
      <c r="B13" s="285">
        <v>0.8</v>
      </c>
      <c r="C13" s="327">
        <v>0.5</v>
      </c>
      <c r="D13" s="330">
        <v>0.04</v>
      </c>
      <c r="E13" s="316">
        <v>0.5</v>
      </c>
      <c r="F13"/>
      <c r="G13" s="405">
        <v>2009</v>
      </c>
      <c r="H13" s="411"/>
      <c r="I13" s="409">
        <v>2960</v>
      </c>
      <c r="J13" s="409"/>
      <c r="K13" s="407">
        <v>1480</v>
      </c>
      <c r="L13" s="407">
        <v>23833.33</v>
      </c>
      <c r="M13" s="407"/>
      <c r="O13" s="129">
        <v>2</v>
      </c>
      <c r="P13" s="410">
        <v>0.02</v>
      </c>
      <c r="Q13" s="410">
        <f>Q12+P13</f>
        <v>0.04</v>
      </c>
    </row>
    <row r="14" spans="1:17" ht="12.75">
      <c r="A14" s="295">
        <v>0.76</v>
      </c>
      <c r="B14" s="285">
        <v>0.81</v>
      </c>
      <c r="C14" s="327">
        <v>1</v>
      </c>
      <c r="D14" s="330">
        <v>0.08</v>
      </c>
      <c r="E14" s="316">
        <v>1</v>
      </c>
      <c r="F14"/>
      <c r="G14" s="405">
        <v>2010</v>
      </c>
      <c r="H14" s="411"/>
      <c r="I14" s="412">
        <v>3020</v>
      </c>
      <c r="J14" s="412"/>
      <c r="K14" s="407">
        <v>1510</v>
      </c>
      <c r="L14" s="407">
        <v>24375</v>
      </c>
      <c r="O14" s="129">
        <v>3</v>
      </c>
      <c r="P14" s="410">
        <v>0.02</v>
      </c>
      <c r="Q14" s="410">
        <f aca="true" t="shared" si="0" ref="Q14:Q51">Q13+P14</f>
        <v>0.06</v>
      </c>
    </row>
    <row r="15" spans="1:17" ht="12.75">
      <c r="A15" s="295">
        <v>0.77</v>
      </c>
      <c r="B15" s="285">
        <v>0.81</v>
      </c>
      <c r="C15" s="327">
        <v>1.5</v>
      </c>
      <c r="D15" s="330">
        <v>0.13</v>
      </c>
      <c r="E15" s="316">
        <v>1.5</v>
      </c>
      <c r="F15"/>
      <c r="G15" s="405">
        <v>2011</v>
      </c>
      <c r="H15" s="411"/>
      <c r="I15" s="412">
        <v>3140</v>
      </c>
      <c r="J15" s="412"/>
      <c r="K15" s="407">
        <v>1570</v>
      </c>
      <c r="L15" s="407">
        <v>26000</v>
      </c>
      <c r="O15" s="129">
        <v>4</v>
      </c>
      <c r="P15" s="410">
        <v>0.02</v>
      </c>
      <c r="Q15" s="410">
        <f t="shared" si="0"/>
        <v>0.08</v>
      </c>
    </row>
    <row r="16" spans="1:17" ht="12.75">
      <c r="A16" s="295">
        <v>0.78</v>
      </c>
      <c r="B16" s="285">
        <v>0.82</v>
      </c>
      <c r="C16" s="327">
        <v>2</v>
      </c>
      <c r="D16" s="330">
        <v>0.17</v>
      </c>
      <c r="E16" s="316">
        <v>2</v>
      </c>
      <c r="F16"/>
      <c r="G16" s="405">
        <v>2012</v>
      </c>
      <c r="H16" s="411"/>
      <c r="I16" s="412">
        <v>3250</v>
      </c>
      <c r="J16" s="412"/>
      <c r="K16" s="407">
        <v>1625</v>
      </c>
      <c r="L16" s="407">
        <v>27083.33</v>
      </c>
      <c r="O16" s="129">
        <v>5</v>
      </c>
      <c r="P16" s="410">
        <v>0.02</v>
      </c>
      <c r="Q16" s="410">
        <f t="shared" si="0"/>
        <v>0.1</v>
      </c>
    </row>
    <row r="17" spans="1:17" ht="12.75">
      <c r="A17" s="295">
        <v>0.79</v>
      </c>
      <c r="B17" s="285">
        <v>0.83</v>
      </c>
      <c r="C17" s="327">
        <v>2.5</v>
      </c>
      <c r="D17" s="330">
        <v>0.21</v>
      </c>
      <c r="E17" s="316">
        <v>2.5</v>
      </c>
      <c r="F17"/>
      <c r="G17" s="405">
        <v>2013</v>
      </c>
      <c r="H17" s="411"/>
      <c r="I17" s="412">
        <v>3300</v>
      </c>
      <c r="J17" s="412">
        <v>1650</v>
      </c>
      <c r="K17" s="407">
        <v>1625</v>
      </c>
      <c r="L17" s="407">
        <v>29250</v>
      </c>
      <c r="O17" s="129">
        <v>6</v>
      </c>
      <c r="P17" s="410">
        <v>0.02</v>
      </c>
      <c r="Q17" s="410">
        <f t="shared" si="0"/>
        <v>0.12000000000000001</v>
      </c>
    </row>
    <row r="18" spans="1:17" ht="12.75">
      <c r="A18" s="295">
        <v>0.8</v>
      </c>
      <c r="B18" s="285">
        <v>0.83</v>
      </c>
      <c r="C18" s="327">
        <v>3</v>
      </c>
      <c r="D18" s="330">
        <v>0.25</v>
      </c>
      <c r="E18" s="316">
        <v>3</v>
      </c>
      <c r="F18"/>
      <c r="G18" s="405">
        <v>2014</v>
      </c>
      <c r="H18" s="411"/>
      <c r="I18" s="412">
        <v>3360</v>
      </c>
      <c r="J18" s="412"/>
      <c r="K18" s="407">
        <v>1680</v>
      </c>
      <c r="L18" s="407">
        <f>28500*13/12</f>
        <v>30875</v>
      </c>
      <c r="O18" s="129">
        <v>7</v>
      </c>
      <c r="P18" s="410">
        <v>0.02</v>
      </c>
      <c r="Q18" s="410">
        <f t="shared" si="0"/>
        <v>0.14</v>
      </c>
    </row>
    <row r="19" spans="1:17" ht="12.75">
      <c r="A19" s="295">
        <v>0.81</v>
      </c>
      <c r="B19" s="285">
        <v>0.84</v>
      </c>
      <c r="C19" s="327">
        <v>3.5</v>
      </c>
      <c r="D19" s="330">
        <v>0.29</v>
      </c>
      <c r="E19" s="316">
        <v>3.5</v>
      </c>
      <c r="F19"/>
      <c r="G19" s="405">
        <v>2015</v>
      </c>
      <c r="H19" s="411"/>
      <c r="I19" s="412">
        <v>3420</v>
      </c>
      <c r="J19" s="412"/>
      <c r="K19" s="407">
        <v>1710</v>
      </c>
      <c r="L19" s="407">
        <v>32500</v>
      </c>
      <c r="O19" s="129">
        <v>8</v>
      </c>
      <c r="P19" s="410">
        <v>0.02</v>
      </c>
      <c r="Q19" s="410">
        <f t="shared" si="0"/>
        <v>0.16</v>
      </c>
    </row>
    <row r="20" spans="1:17" ht="12.75">
      <c r="A20" s="295">
        <v>0.82</v>
      </c>
      <c r="B20" s="285">
        <v>0.85</v>
      </c>
      <c r="C20" s="327">
        <v>4</v>
      </c>
      <c r="D20" s="330">
        <v>0.33</v>
      </c>
      <c r="E20" s="316">
        <v>4</v>
      </c>
      <c r="F20"/>
      <c r="G20" s="405">
        <v>2016</v>
      </c>
      <c r="I20" s="515">
        <v>3456</v>
      </c>
      <c r="K20" s="407">
        <v>1728</v>
      </c>
      <c r="L20" s="407">
        <v>33583.33</v>
      </c>
      <c r="O20" s="129">
        <v>9</v>
      </c>
      <c r="P20" s="410">
        <v>0.02</v>
      </c>
      <c r="Q20" s="410">
        <f t="shared" si="0"/>
        <v>0.18</v>
      </c>
    </row>
    <row r="21" spans="1:17" ht="12.75">
      <c r="A21" s="295">
        <v>0.83</v>
      </c>
      <c r="B21" s="285">
        <v>0.85</v>
      </c>
      <c r="C21" s="327">
        <v>4.5</v>
      </c>
      <c r="D21" s="330">
        <v>0.38</v>
      </c>
      <c r="E21" s="316">
        <v>4.5</v>
      </c>
      <c r="F21"/>
      <c r="O21" s="129">
        <v>10</v>
      </c>
      <c r="P21" s="410">
        <v>0.02</v>
      </c>
      <c r="Q21" s="410">
        <f t="shared" si="0"/>
        <v>0.19999999999999998</v>
      </c>
    </row>
    <row r="22" spans="1:17" ht="12.75">
      <c r="A22" s="295">
        <v>0.84</v>
      </c>
      <c r="B22" s="285">
        <v>0.86</v>
      </c>
      <c r="C22" s="327">
        <v>5</v>
      </c>
      <c r="D22" s="330">
        <v>0.42</v>
      </c>
      <c r="E22" s="316">
        <v>5</v>
      </c>
      <c r="F22"/>
      <c r="I22" s="129" t="s">
        <v>837</v>
      </c>
      <c r="K22" s="129" t="s">
        <v>838</v>
      </c>
      <c r="O22" s="129">
        <v>11</v>
      </c>
      <c r="P22" s="410">
        <v>0.02</v>
      </c>
      <c r="Q22" s="410">
        <f t="shared" si="0"/>
        <v>0.21999999999999997</v>
      </c>
    </row>
    <row r="23" spans="1:17" ht="14.25">
      <c r="A23" s="295">
        <v>0.85</v>
      </c>
      <c r="B23" s="285">
        <v>0.87</v>
      </c>
      <c r="C23" s="327">
        <v>5.5</v>
      </c>
      <c r="D23" s="330">
        <v>0.46</v>
      </c>
      <c r="E23" s="316">
        <v>5.5</v>
      </c>
      <c r="F23"/>
      <c r="G23" s="401"/>
      <c r="I23" s="401"/>
      <c r="K23" s="411" t="s">
        <v>841</v>
      </c>
      <c r="M23" s="411" t="s">
        <v>848</v>
      </c>
      <c r="O23" s="129">
        <v>12</v>
      </c>
      <c r="P23" s="410">
        <v>0.02</v>
      </c>
      <c r="Q23" s="410">
        <f t="shared" si="0"/>
        <v>0.23999999999999996</v>
      </c>
    </row>
    <row r="24" spans="1:17" ht="12.75">
      <c r="A24" s="295">
        <v>0.86</v>
      </c>
      <c r="B24" s="285">
        <v>0.87</v>
      </c>
      <c r="C24" s="327">
        <v>6</v>
      </c>
      <c r="D24" s="330">
        <v>0.5</v>
      </c>
      <c r="E24" s="316">
        <v>6</v>
      </c>
      <c r="F24"/>
      <c r="K24" s="45" t="s">
        <v>822</v>
      </c>
      <c r="M24" s="413" t="s">
        <v>849</v>
      </c>
      <c r="O24" s="129">
        <v>13</v>
      </c>
      <c r="P24" s="410">
        <v>0.02</v>
      </c>
      <c r="Q24" s="410">
        <f t="shared" si="0"/>
        <v>0.25999999999999995</v>
      </c>
    </row>
    <row r="25" spans="1:17" ht="12.75">
      <c r="A25" s="295">
        <v>0.87</v>
      </c>
      <c r="B25" s="285">
        <v>0.88</v>
      </c>
      <c r="C25" s="327">
        <v>6.5</v>
      </c>
      <c r="D25" s="330">
        <v>0.55</v>
      </c>
      <c r="E25" s="316">
        <v>6.5</v>
      </c>
      <c r="F25"/>
      <c r="K25" s="45" t="s">
        <v>839</v>
      </c>
      <c r="M25" s="413" t="s">
        <v>850</v>
      </c>
      <c r="O25" s="129">
        <v>14</v>
      </c>
      <c r="P25" s="410">
        <v>0.02</v>
      </c>
      <c r="Q25" s="410">
        <f t="shared" si="0"/>
        <v>0.27999999999999997</v>
      </c>
    </row>
    <row r="26" spans="1:17" ht="12.75">
      <c r="A26" s="295">
        <v>0.88</v>
      </c>
      <c r="B26" s="285">
        <v>0.89</v>
      </c>
      <c r="C26" s="327">
        <v>7</v>
      </c>
      <c r="D26" s="330">
        <v>0.59</v>
      </c>
      <c r="E26" s="316">
        <v>7</v>
      </c>
      <c r="F26"/>
      <c r="K26" s="45" t="s">
        <v>840</v>
      </c>
      <c r="O26" s="129">
        <v>15</v>
      </c>
      <c r="P26" s="410">
        <v>0.02</v>
      </c>
      <c r="Q26" s="410">
        <f t="shared" si="0"/>
        <v>0.3</v>
      </c>
    </row>
    <row r="27" spans="1:17" ht="12.75">
      <c r="A27" s="295">
        <v>0.89</v>
      </c>
      <c r="B27" s="285">
        <v>0.89</v>
      </c>
      <c r="C27" s="327">
        <v>7.5</v>
      </c>
      <c r="D27" s="330">
        <v>0.64</v>
      </c>
      <c r="E27" s="316">
        <v>7.5</v>
      </c>
      <c r="F27"/>
      <c r="O27" s="129">
        <v>16</v>
      </c>
      <c r="P27" s="410">
        <v>0.01</v>
      </c>
      <c r="Q27" s="410">
        <f t="shared" si="0"/>
        <v>0.31</v>
      </c>
    </row>
    <row r="28" spans="1:17" ht="14.25">
      <c r="A28" s="295">
        <v>0.9</v>
      </c>
      <c r="B28" s="285">
        <v>0.9</v>
      </c>
      <c r="C28" s="327">
        <v>8</v>
      </c>
      <c r="D28" s="330">
        <v>0.68</v>
      </c>
      <c r="E28" s="316">
        <v>8</v>
      </c>
      <c r="F28"/>
      <c r="G28" s="401"/>
      <c r="O28" s="129">
        <v>17</v>
      </c>
      <c r="P28" s="410">
        <v>0.01</v>
      </c>
      <c r="Q28" s="410">
        <f t="shared" si="0"/>
        <v>0.32</v>
      </c>
    </row>
    <row r="29" spans="1:17" ht="12.75">
      <c r="A29" s="295">
        <v>0.91</v>
      </c>
      <c r="B29" s="285">
        <v>0.91</v>
      </c>
      <c r="C29" s="327">
        <v>8.5</v>
      </c>
      <c r="D29" s="330">
        <v>0.73</v>
      </c>
      <c r="E29" s="316">
        <v>8.5</v>
      </c>
      <c r="F29"/>
      <c r="I29" s="411" t="s">
        <v>842</v>
      </c>
      <c r="O29" s="129">
        <v>18</v>
      </c>
      <c r="P29" s="410">
        <v>0.01</v>
      </c>
      <c r="Q29" s="410">
        <f t="shared" si="0"/>
        <v>0.33</v>
      </c>
    </row>
    <row r="30" spans="1:17" ht="12.75">
      <c r="A30" s="295">
        <v>0.92</v>
      </c>
      <c r="B30" s="285">
        <v>0.91</v>
      </c>
      <c r="C30" s="327">
        <v>9</v>
      </c>
      <c r="D30" s="331">
        <v>0.77</v>
      </c>
      <c r="E30" s="316">
        <v>9</v>
      </c>
      <c r="F30"/>
      <c r="I30" s="413" t="s">
        <v>843</v>
      </c>
      <c r="J30" s="413" t="s">
        <v>303</v>
      </c>
      <c r="K30" s="413" t="s">
        <v>304</v>
      </c>
      <c r="O30" s="129">
        <v>19</v>
      </c>
      <c r="P30" s="410">
        <v>0.01</v>
      </c>
      <c r="Q30" s="410">
        <f t="shared" si="0"/>
        <v>0.34</v>
      </c>
    </row>
    <row r="31" spans="1:17" ht="12.75">
      <c r="A31" s="295">
        <v>0.93</v>
      </c>
      <c r="B31" s="285">
        <v>0.92</v>
      </c>
      <c r="C31" s="327">
        <v>9.5</v>
      </c>
      <c r="D31" s="330">
        <v>0.82</v>
      </c>
      <c r="E31" s="316">
        <v>9.5</v>
      </c>
      <c r="F31"/>
      <c r="I31" s="129">
        <v>1</v>
      </c>
      <c r="J31" s="414">
        <v>0</v>
      </c>
      <c r="K31" s="414">
        <v>0</v>
      </c>
      <c r="O31" s="129">
        <v>20</v>
      </c>
      <c r="P31" s="410">
        <v>0.01</v>
      </c>
      <c r="Q31" s="410">
        <f t="shared" si="0"/>
        <v>0.35000000000000003</v>
      </c>
    </row>
    <row r="32" spans="1:17" ht="12.75">
      <c r="A32" s="295">
        <v>0.94</v>
      </c>
      <c r="B32" s="285">
        <v>0.93</v>
      </c>
      <c r="C32" s="327">
        <v>10</v>
      </c>
      <c r="D32" s="330">
        <v>0.86</v>
      </c>
      <c r="E32" s="316">
        <v>10</v>
      </c>
      <c r="F32"/>
      <c r="I32" s="129">
        <v>2</v>
      </c>
      <c r="J32" s="414">
        <v>0</v>
      </c>
      <c r="K32" s="414">
        <v>0</v>
      </c>
      <c r="O32" s="129">
        <v>21</v>
      </c>
      <c r="P32" s="410">
        <v>0.015</v>
      </c>
      <c r="Q32" s="410">
        <f t="shared" si="0"/>
        <v>0.36500000000000005</v>
      </c>
    </row>
    <row r="33" spans="1:17" ht="12.75">
      <c r="A33" s="295">
        <v>0.95</v>
      </c>
      <c r="B33" s="285">
        <v>0.93</v>
      </c>
      <c r="C33" s="327">
        <v>10.5</v>
      </c>
      <c r="D33" s="330">
        <v>0.91</v>
      </c>
      <c r="E33" s="316">
        <v>10.5</v>
      </c>
      <c r="F33"/>
      <c r="I33" s="129">
        <v>3</v>
      </c>
      <c r="J33" s="414">
        <v>0</v>
      </c>
      <c r="K33" s="414">
        <v>0</v>
      </c>
      <c r="O33" s="129">
        <v>22</v>
      </c>
      <c r="P33" s="410">
        <v>0.015</v>
      </c>
      <c r="Q33" s="410">
        <f t="shared" si="0"/>
        <v>0.38000000000000006</v>
      </c>
    </row>
    <row r="34" spans="1:17" ht="12.75">
      <c r="A34" s="295">
        <v>0.96</v>
      </c>
      <c r="B34" s="285">
        <v>0.94</v>
      </c>
      <c r="C34" s="327">
        <v>11</v>
      </c>
      <c r="D34" s="330">
        <v>0.95</v>
      </c>
      <c r="E34" s="316">
        <v>11</v>
      </c>
      <c r="F34"/>
      <c r="I34" s="129">
        <v>4</v>
      </c>
      <c r="J34" s="414">
        <v>0</v>
      </c>
      <c r="K34" s="414">
        <v>0</v>
      </c>
      <c r="O34" s="129">
        <v>23</v>
      </c>
      <c r="P34" s="410">
        <v>0.015</v>
      </c>
      <c r="Q34" s="410">
        <f t="shared" si="0"/>
        <v>0.3950000000000001</v>
      </c>
    </row>
    <row r="35" spans="1:17" ht="12.75">
      <c r="A35" s="295">
        <v>0.97</v>
      </c>
      <c r="B35" s="285">
        <v>0.95</v>
      </c>
      <c r="C35" s="327">
        <v>11.5</v>
      </c>
      <c r="D35" s="330">
        <v>1</v>
      </c>
      <c r="E35" s="316">
        <v>11.5</v>
      </c>
      <c r="F35"/>
      <c r="I35" s="129">
        <v>5</v>
      </c>
      <c r="J35" s="414">
        <v>0</v>
      </c>
      <c r="K35" s="414">
        <v>0</v>
      </c>
      <c r="O35" s="129">
        <v>24</v>
      </c>
      <c r="P35" s="410">
        <v>0.015</v>
      </c>
      <c r="Q35" s="410">
        <f t="shared" si="0"/>
        <v>0.4100000000000001</v>
      </c>
    </row>
    <row r="36" spans="1:17" ht="13.5" thickBot="1">
      <c r="A36" s="295">
        <v>0.98</v>
      </c>
      <c r="B36" s="285">
        <v>0.95</v>
      </c>
      <c r="C36" s="328">
        <v>12</v>
      </c>
      <c r="D36" s="332">
        <v>1</v>
      </c>
      <c r="E36" s="316">
        <v>12</v>
      </c>
      <c r="F36"/>
      <c r="I36" s="129">
        <v>6</v>
      </c>
      <c r="J36" s="414">
        <v>0</v>
      </c>
      <c r="K36" s="414">
        <v>0</v>
      </c>
      <c r="O36" s="129">
        <v>25</v>
      </c>
      <c r="P36" s="410">
        <v>0.015</v>
      </c>
      <c r="Q36" s="410">
        <f t="shared" si="0"/>
        <v>0.4250000000000001</v>
      </c>
    </row>
    <row r="37" spans="1:17" ht="13.5" thickBot="1">
      <c r="A37" s="295">
        <v>0.99</v>
      </c>
      <c r="B37" s="285">
        <v>0.96</v>
      </c>
      <c r="C37" s="218" t="s">
        <v>379</v>
      </c>
      <c r="D37" s="137" t="s">
        <v>302</v>
      </c>
      <c r="E37" s="218"/>
      <c r="F37" s="137"/>
      <c r="I37" s="129">
        <v>7</v>
      </c>
      <c r="J37" s="414">
        <v>0</v>
      </c>
      <c r="K37" s="414">
        <v>0</v>
      </c>
      <c r="O37" s="129">
        <v>26</v>
      </c>
      <c r="P37" s="410">
        <v>0.015</v>
      </c>
      <c r="Q37" s="410">
        <f t="shared" si="0"/>
        <v>0.4400000000000001</v>
      </c>
    </row>
    <row r="38" spans="1:17" ht="12.75">
      <c r="A38" s="295">
        <v>1</v>
      </c>
      <c r="B38" s="285">
        <v>0.97</v>
      </c>
      <c r="C38" s="313">
        <v>0</v>
      </c>
      <c r="D38" s="316">
        <v>0</v>
      </c>
      <c r="E38" s="313"/>
      <c r="F38" s="318"/>
      <c r="I38" s="129">
        <v>8</v>
      </c>
      <c r="J38" s="414">
        <v>0</v>
      </c>
      <c r="K38" s="414">
        <v>0</v>
      </c>
      <c r="O38" s="129">
        <v>27</v>
      </c>
      <c r="P38" s="410">
        <v>0.015</v>
      </c>
      <c r="Q38" s="410">
        <f t="shared" si="0"/>
        <v>0.4550000000000001</v>
      </c>
    </row>
    <row r="39" spans="1:17" ht="12.75">
      <c r="A39" s="295">
        <v>1.01</v>
      </c>
      <c r="B39" s="285">
        <v>0.97</v>
      </c>
      <c r="C39" s="314">
        <v>10</v>
      </c>
      <c r="D39" s="316">
        <f>D38+0.01</f>
        <v>0.01</v>
      </c>
      <c r="E39" s="314"/>
      <c r="F39" s="318"/>
      <c r="I39" s="129">
        <v>9</v>
      </c>
      <c r="J39" s="414">
        <v>0</v>
      </c>
      <c r="K39" s="414">
        <v>0</v>
      </c>
      <c r="O39" s="129">
        <v>28</v>
      </c>
      <c r="P39" s="410">
        <v>0.015</v>
      </c>
      <c r="Q39" s="410">
        <f t="shared" si="0"/>
        <v>0.47000000000000014</v>
      </c>
    </row>
    <row r="40" spans="1:17" ht="12.75">
      <c r="A40" s="295">
        <v>1.02</v>
      </c>
      <c r="B40" s="285">
        <v>0.98</v>
      </c>
      <c r="C40" s="314">
        <v>30</v>
      </c>
      <c r="D40" s="316">
        <f aca="true" t="shared" si="1" ref="D40:D103">D39+0.01</f>
        <v>0.02</v>
      </c>
      <c r="E40" s="314"/>
      <c r="F40" s="318"/>
      <c r="I40" s="129">
        <v>10</v>
      </c>
      <c r="J40" s="414">
        <v>0</v>
      </c>
      <c r="K40" s="414">
        <v>0</v>
      </c>
      <c r="O40" s="129">
        <v>29</v>
      </c>
      <c r="P40" s="410">
        <v>0.015</v>
      </c>
      <c r="Q40" s="410">
        <f t="shared" si="0"/>
        <v>0.48500000000000015</v>
      </c>
    </row>
    <row r="41" spans="1:17" ht="12.75">
      <c r="A41" s="295">
        <v>1.03</v>
      </c>
      <c r="B41" s="285">
        <v>0.99</v>
      </c>
      <c r="C41" s="314">
        <v>50</v>
      </c>
      <c r="D41" s="316">
        <f t="shared" si="1"/>
        <v>0.03</v>
      </c>
      <c r="E41" s="314"/>
      <c r="F41" s="318"/>
      <c r="I41" s="129">
        <v>11</v>
      </c>
      <c r="J41" s="414">
        <v>0</v>
      </c>
      <c r="K41" s="414">
        <v>0</v>
      </c>
      <c r="O41" s="129">
        <v>30</v>
      </c>
      <c r="P41" s="410">
        <v>0.015</v>
      </c>
      <c r="Q41" s="410">
        <f t="shared" si="0"/>
        <v>0.5000000000000001</v>
      </c>
    </row>
    <row r="42" spans="1:17" ht="12.75">
      <c r="A42" s="295">
        <v>1.04</v>
      </c>
      <c r="B42" s="285">
        <v>0.99</v>
      </c>
      <c r="C42" s="314">
        <v>70</v>
      </c>
      <c r="D42" s="316">
        <f t="shared" si="1"/>
        <v>0.04</v>
      </c>
      <c r="E42" s="314"/>
      <c r="F42" s="318"/>
      <c r="I42" s="129">
        <v>12</v>
      </c>
      <c r="J42" s="414">
        <v>0</v>
      </c>
      <c r="K42" s="414">
        <v>0</v>
      </c>
      <c r="O42" s="129">
        <v>31</v>
      </c>
      <c r="P42" s="410">
        <v>0.02</v>
      </c>
      <c r="Q42" s="410">
        <f t="shared" si="0"/>
        <v>0.5200000000000001</v>
      </c>
    </row>
    <row r="43" spans="1:17" ht="12.75">
      <c r="A43" s="295">
        <v>1.05</v>
      </c>
      <c r="B43" s="285">
        <v>1</v>
      </c>
      <c r="C43" s="314">
        <v>90</v>
      </c>
      <c r="D43" s="316">
        <f t="shared" si="1"/>
        <v>0.05</v>
      </c>
      <c r="E43" s="314"/>
      <c r="F43" s="318"/>
      <c r="I43" s="129">
        <v>13</v>
      </c>
      <c r="J43" s="414">
        <v>0</v>
      </c>
      <c r="K43" s="414">
        <v>0</v>
      </c>
      <c r="O43" s="129">
        <v>32</v>
      </c>
      <c r="P43" s="410">
        <v>0.02</v>
      </c>
      <c r="Q43" s="410">
        <f t="shared" si="0"/>
        <v>0.5400000000000001</v>
      </c>
    </row>
    <row r="44" spans="1:17" ht="12.75">
      <c r="A44" s="295">
        <v>1.06</v>
      </c>
      <c r="B44" s="285">
        <v>1.01</v>
      </c>
      <c r="C44" s="314">
        <v>110</v>
      </c>
      <c r="D44" s="316">
        <f t="shared" si="1"/>
        <v>0.060000000000000005</v>
      </c>
      <c r="E44" s="314"/>
      <c r="F44" s="318"/>
      <c r="I44" s="129">
        <v>14</v>
      </c>
      <c r="J44" s="414">
        <v>0</v>
      </c>
      <c r="K44" s="414">
        <v>0</v>
      </c>
      <c r="O44" s="129">
        <v>33</v>
      </c>
      <c r="P44" s="410">
        <v>0.02</v>
      </c>
      <c r="Q44" s="410">
        <f t="shared" si="0"/>
        <v>0.5600000000000002</v>
      </c>
    </row>
    <row r="45" spans="1:17" ht="12.75">
      <c r="A45" s="295">
        <v>1.07</v>
      </c>
      <c r="B45" s="285">
        <v>1.01</v>
      </c>
      <c r="C45" s="314">
        <v>130</v>
      </c>
      <c r="D45" s="316">
        <f t="shared" si="1"/>
        <v>0.07</v>
      </c>
      <c r="E45" s="314"/>
      <c r="F45" s="318"/>
      <c r="I45" s="129">
        <v>15</v>
      </c>
      <c r="J45" s="414">
        <v>0.25</v>
      </c>
      <c r="K45" s="415">
        <f>J45+15%</f>
        <v>0.4</v>
      </c>
      <c r="O45" s="129">
        <v>34</v>
      </c>
      <c r="P45" s="410">
        <v>0.02</v>
      </c>
      <c r="Q45" s="410">
        <f t="shared" si="0"/>
        <v>0.5800000000000002</v>
      </c>
    </row>
    <row r="46" spans="1:17" ht="12.75">
      <c r="A46" s="295">
        <v>1.08</v>
      </c>
      <c r="B46" s="285">
        <v>1.02</v>
      </c>
      <c r="C46" s="314">
        <v>150</v>
      </c>
      <c r="D46" s="316">
        <f t="shared" si="1"/>
        <v>0.08</v>
      </c>
      <c r="E46" s="314"/>
      <c r="F46" s="318"/>
      <c r="I46" s="129">
        <v>16</v>
      </c>
      <c r="J46" s="414">
        <f>J45+2.5%</f>
        <v>0.275</v>
      </c>
      <c r="K46" s="415">
        <f aca="true" t="shared" si="2" ref="K46:K75">J46+15%</f>
        <v>0.42500000000000004</v>
      </c>
      <c r="O46" s="129">
        <v>35</v>
      </c>
      <c r="P46" s="410">
        <v>0.02</v>
      </c>
      <c r="Q46" s="410">
        <f t="shared" si="0"/>
        <v>0.6000000000000002</v>
      </c>
    </row>
    <row r="47" spans="1:17" ht="12.75">
      <c r="A47" s="295">
        <v>1.09</v>
      </c>
      <c r="B47" s="285">
        <v>1.03</v>
      </c>
      <c r="C47" s="314">
        <v>170</v>
      </c>
      <c r="D47" s="316">
        <f t="shared" si="1"/>
        <v>0.09</v>
      </c>
      <c r="E47" s="314"/>
      <c r="F47" s="318"/>
      <c r="I47" s="129">
        <v>17</v>
      </c>
      <c r="J47" s="414">
        <f aca="true" t="shared" si="3" ref="J47:J65">J46+2.5%</f>
        <v>0.30000000000000004</v>
      </c>
      <c r="K47" s="415">
        <f t="shared" si="2"/>
        <v>0.45000000000000007</v>
      </c>
      <c r="O47" s="129">
        <v>36</v>
      </c>
      <c r="P47" s="410">
        <v>0.02</v>
      </c>
      <c r="Q47" s="410">
        <f t="shared" si="0"/>
        <v>0.6200000000000002</v>
      </c>
    </row>
    <row r="48" spans="1:17" ht="12.75">
      <c r="A48" s="295">
        <v>1.1</v>
      </c>
      <c r="B48" s="285">
        <v>1.03</v>
      </c>
      <c r="C48" s="314">
        <v>190</v>
      </c>
      <c r="D48" s="316">
        <f t="shared" si="1"/>
        <v>0.09999999999999999</v>
      </c>
      <c r="E48" s="314"/>
      <c r="F48" s="318"/>
      <c r="I48" s="129">
        <v>18</v>
      </c>
      <c r="J48" s="414">
        <f t="shared" si="3"/>
        <v>0.32500000000000007</v>
      </c>
      <c r="K48" s="415">
        <f t="shared" si="2"/>
        <v>0.4750000000000001</v>
      </c>
      <c r="O48" s="129">
        <v>37</v>
      </c>
      <c r="P48" s="410">
        <v>0.02</v>
      </c>
      <c r="Q48" s="410">
        <f t="shared" si="0"/>
        <v>0.6400000000000002</v>
      </c>
    </row>
    <row r="49" spans="1:17" ht="12.75">
      <c r="A49" s="295">
        <v>1.11</v>
      </c>
      <c r="B49" s="285">
        <v>1.04</v>
      </c>
      <c r="C49" s="314">
        <v>210</v>
      </c>
      <c r="D49" s="316">
        <f t="shared" si="1"/>
        <v>0.10999999999999999</v>
      </c>
      <c r="E49" s="314"/>
      <c r="F49" s="318"/>
      <c r="I49" s="129">
        <v>19</v>
      </c>
      <c r="J49" s="414">
        <f t="shared" si="3"/>
        <v>0.3500000000000001</v>
      </c>
      <c r="K49" s="415">
        <f t="shared" si="2"/>
        <v>0.5000000000000001</v>
      </c>
      <c r="O49" s="129">
        <v>38</v>
      </c>
      <c r="P49" s="410">
        <v>0.02</v>
      </c>
      <c r="Q49" s="410">
        <f t="shared" si="0"/>
        <v>0.6600000000000003</v>
      </c>
    </row>
    <row r="50" spans="1:17" ht="12.75">
      <c r="A50" s="295">
        <v>1.12</v>
      </c>
      <c r="B50" s="285">
        <v>1.05</v>
      </c>
      <c r="C50" s="314">
        <v>230</v>
      </c>
      <c r="D50" s="316">
        <f t="shared" si="1"/>
        <v>0.11999999999999998</v>
      </c>
      <c r="E50" s="314"/>
      <c r="F50" s="318"/>
      <c r="I50" s="129">
        <v>20</v>
      </c>
      <c r="J50" s="414">
        <f t="shared" si="3"/>
        <v>0.3750000000000001</v>
      </c>
      <c r="K50" s="415">
        <f t="shared" si="2"/>
        <v>0.5250000000000001</v>
      </c>
      <c r="O50" s="129">
        <v>39</v>
      </c>
      <c r="P50" s="410">
        <v>0.02</v>
      </c>
      <c r="Q50" s="410">
        <f t="shared" si="0"/>
        <v>0.6800000000000003</v>
      </c>
    </row>
    <row r="51" spans="1:17" ht="12.75">
      <c r="A51" s="295">
        <v>1.13</v>
      </c>
      <c r="B51" s="285">
        <v>1.05</v>
      </c>
      <c r="C51" s="314">
        <v>250</v>
      </c>
      <c r="D51" s="316">
        <f t="shared" si="1"/>
        <v>0.12999999999999998</v>
      </c>
      <c r="E51" s="314"/>
      <c r="F51" s="318"/>
      <c r="I51" s="129">
        <v>21</v>
      </c>
      <c r="J51" s="414">
        <f t="shared" si="3"/>
        <v>0.40000000000000013</v>
      </c>
      <c r="K51" s="415">
        <f t="shared" si="2"/>
        <v>0.5500000000000002</v>
      </c>
      <c r="O51" s="129">
        <v>40</v>
      </c>
      <c r="P51" s="410">
        <v>0.02</v>
      </c>
      <c r="Q51" s="410">
        <f t="shared" si="0"/>
        <v>0.7000000000000003</v>
      </c>
    </row>
    <row r="52" spans="1:11" ht="12.75">
      <c r="A52" s="295">
        <v>1.14</v>
      </c>
      <c r="B52" s="285">
        <v>1.06</v>
      </c>
      <c r="C52" s="314">
        <v>270</v>
      </c>
      <c r="D52" s="316">
        <f t="shared" si="1"/>
        <v>0.13999999999999999</v>
      </c>
      <c r="E52" s="314"/>
      <c r="F52" s="318"/>
      <c r="I52" s="129">
        <v>22</v>
      </c>
      <c r="J52" s="414">
        <f t="shared" si="3"/>
        <v>0.42500000000000016</v>
      </c>
      <c r="K52" s="415">
        <f t="shared" si="2"/>
        <v>0.5750000000000002</v>
      </c>
    </row>
    <row r="53" spans="1:11" ht="12.75">
      <c r="A53" s="295">
        <v>1.15</v>
      </c>
      <c r="B53" s="285">
        <v>1.07</v>
      </c>
      <c r="C53" s="314">
        <v>290</v>
      </c>
      <c r="D53" s="316">
        <f t="shared" si="1"/>
        <v>0.15</v>
      </c>
      <c r="E53" s="314"/>
      <c r="F53" s="318"/>
      <c r="I53" s="129">
        <v>23</v>
      </c>
      <c r="J53" s="414">
        <f t="shared" si="3"/>
        <v>0.4500000000000002</v>
      </c>
      <c r="K53" s="415">
        <f t="shared" si="2"/>
        <v>0.6000000000000002</v>
      </c>
    </row>
    <row r="54" spans="1:11" ht="12.75">
      <c r="A54" s="295">
        <v>1.16</v>
      </c>
      <c r="B54" s="285">
        <v>1.07</v>
      </c>
      <c r="C54" s="314">
        <v>310</v>
      </c>
      <c r="D54" s="316">
        <f t="shared" si="1"/>
        <v>0.16</v>
      </c>
      <c r="E54" s="314"/>
      <c r="F54" s="318"/>
      <c r="I54" s="129">
        <v>24</v>
      </c>
      <c r="J54" s="414">
        <f t="shared" si="3"/>
        <v>0.4750000000000002</v>
      </c>
      <c r="K54" s="415">
        <f t="shared" si="2"/>
        <v>0.6250000000000002</v>
      </c>
    </row>
    <row r="55" spans="1:11" ht="12.75">
      <c r="A55" s="295">
        <v>1.17</v>
      </c>
      <c r="B55" s="285">
        <v>1.08</v>
      </c>
      <c r="C55" s="314">
        <v>330</v>
      </c>
      <c r="D55" s="316">
        <f t="shared" si="1"/>
        <v>0.17</v>
      </c>
      <c r="E55" s="314"/>
      <c r="F55" s="318"/>
      <c r="I55" s="129">
        <v>25</v>
      </c>
      <c r="J55" s="414">
        <f t="shared" si="3"/>
        <v>0.5000000000000002</v>
      </c>
      <c r="K55" s="415">
        <f t="shared" si="2"/>
        <v>0.6500000000000002</v>
      </c>
    </row>
    <row r="56" spans="1:11" ht="12.75">
      <c r="A56" s="295">
        <v>1.18</v>
      </c>
      <c r="B56" s="285">
        <v>1.09</v>
      </c>
      <c r="C56" s="314">
        <v>350</v>
      </c>
      <c r="D56" s="316">
        <f t="shared" si="1"/>
        <v>0.18000000000000002</v>
      </c>
      <c r="E56" s="314"/>
      <c r="F56" s="318"/>
      <c r="I56" s="129">
        <v>26</v>
      </c>
      <c r="J56" s="414">
        <f t="shared" si="3"/>
        <v>0.5250000000000002</v>
      </c>
      <c r="K56" s="415">
        <f t="shared" si="2"/>
        <v>0.6750000000000003</v>
      </c>
    </row>
    <row r="57" spans="1:11" ht="12.75">
      <c r="A57" s="295">
        <v>1.19</v>
      </c>
      <c r="B57" s="285">
        <v>1.09</v>
      </c>
      <c r="C57" s="314">
        <v>370</v>
      </c>
      <c r="D57" s="316">
        <f t="shared" si="1"/>
        <v>0.19000000000000003</v>
      </c>
      <c r="E57" s="314"/>
      <c r="F57" s="318"/>
      <c r="I57" s="129">
        <v>27</v>
      </c>
      <c r="J57" s="414">
        <f t="shared" si="3"/>
        <v>0.5500000000000003</v>
      </c>
      <c r="K57" s="415">
        <f t="shared" si="2"/>
        <v>0.7000000000000003</v>
      </c>
    </row>
    <row r="58" spans="1:11" ht="12.75">
      <c r="A58" s="295">
        <v>1.2</v>
      </c>
      <c r="B58" s="285">
        <v>1.1</v>
      </c>
      <c r="C58" s="314">
        <v>390</v>
      </c>
      <c r="D58" s="316">
        <f t="shared" si="1"/>
        <v>0.20000000000000004</v>
      </c>
      <c r="E58" s="314"/>
      <c r="F58" s="318"/>
      <c r="I58" s="129">
        <v>28</v>
      </c>
      <c r="J58" s="414">
        <f t="shared" si="3"/>
        <v>0.5750000000000003</v>
      </c>
      <c r="K58" s="415">
        <f t="shared" si="2"/>
        <v>0.7250000000000003</v>
      </c>
    </row>
    <row r="59" spans="1:11" ht="12.75">
      <c r="A59" s="295">
        <v>1.21</v>
      </c>
      <c r="B59" s="285">
        <v>1.11</v>
      </c>
      <c r="C59" s="314">
        <v>410</v>
      </c>
      <c r="D59" s="316">
        <f t="shared" si="1"/>
        <v>0.21000000000000005</v>
      </c>
      <c r="E59" s="314"/>
      <c r="F59" s="318"/>
      <c r="I59" s="129">
        <v>29</v>
      </c>
      <c r="J59" s="414">
        <f t="shared" si="3"/>
        <v>0.6000000000000003</v>
      </c>
      <c r="K59" s="415">
        <f t="shared" si="2"/>
        <v>0.7500000000000003</v>
      </c>
    </row>
    <row r="60" spans="1:11" ht="12.75">
      <c r="A60" s="295">
        <v>1.22</v>
      </c>
      <c r="B60" s="285">
        <v>1.11</v>
      </c>
      <c r="C60" s="314">
        <v>430</v>
      </c>
      <c r="D60" s="316">
        <f t="shared" si="1"/>
        <v>0.22000000000000006</v>
      </c>
      <c r="E60" s="314"/>
      <c r="F60" s="318"/>
      <c r="I60" s="129">
        <v>30</v>
      </c>
      <c r="J60" s="414">
        <f t="shared" si="3"/>
        <v>0.6250000000000003</v>
      </c>
      <c r="K60" s="415">
        <f t="shared" si="2"/>
        <v>0.7750000000000004</v>
      </c>
    </row>
    <row r="61" spans="1:11" ht="12.75">
      <c r="A61" s="295">
        <v>1.23</v>
      </c>
      <c r="B61" s="285">
        <v>1.12</v>
      </c>
      <c r="C61" s="314">
        <v>450</v>
      </c>
      <c r="D61" s="316">
        <f t="shared" si="1"/>
        <v>0.23000000000000007</v>
      </c>
      <c r="E61" s="314"/>
      <c r="F61" s="318"/>
      <c r="I61" s="129">
        <v>31</v>
      </c>
      <c r="J61" s="414">
        <f t="shared" si="3"/>
        <v>0.6500000000000004</v>
      </c>
      <c r="K61" s="415">
        <f t="shared" si="2"/>
        <v>0.8000000000000004</v>
      </c>
    </row>
    <row r="62" spans="1:11" ht="12.75">
      <c r="A62" s="295">
        <v>1.24</v>
      </c>
      <c r="B62" s="285">
        <v>1.13</v>
      </c>
      <c r="C62" s="314">
        <v>470</v>
      </c>
      <c r="D62" s="316">
        <f t="shared" si="1"/>
        <v>0.24000000000000007</v>
      </c>
      <c r="E62" s="314"/>
      <c r="F62" s="318"/>
      <c r="I62" s="129">
        <v>32</v>
      </c>
      <c r="J62" s="414">
        <f t="shared" si="3"/>
        <v>0.6750000000000004</v>
      </c>
      <c r="K62" s="415">
        <f t="shared" si="2"/>
        <v>0.8250000000000004</v>
      </c>
    </row>
    <row r="63" spans="1:11" ht="12.75">
      <c r="A63" s="295">
        <v>1.25</v>
      </c>
      <c r="B63" s="285">
        <v>1.13</v>
      </c>
      <c r="C63" s="314">
        <v>490</v>
      </c>
      <c r="D63" s="316">
        <f t="shared" si="1"/>
        <v>0.25000000000000006</v>
      </c>
      <c r="E63" s="314"/>
      <c r="F63" s="318"/>
      <c r="I63" s="129">
        <v>33</v>
      </c>
      <c r="J63" s="414">
        <f t="shared" si="3"/>
        <v>0.7000000000000004</v>
      </c>
      <c r="K63" s="415">
        <f t="shared" si="2"/>
        <v>0.8500000000000004</v>
      </c>
    </row>
    <row r="64" spans="1:11" ht="12.75">
      <c r="A64" s="295">
        <v>1.26</v>
      </c>
      <c r="B64" s="285">
        <v>1.14</v>
      </c>
      <c r="C64" s="314">
        <v>510</v>
      </c>
      <c r="D64" s="316">
        <f t="shared" si="1"/>
        <v>0.26000000000000006</v>
      </c>
      <c r="E64" s="314"/>
      <c r="F64" s="318"/>
      <c r="I64" s="129">
        <v>34</v>
      </c>
      <c r="J64" s="414">
        <f t="shared" si="3"/>
        <v>0.7250000000000004</v>
      </c>
      <c r="K64" s="415">
        <f t="shared" si="2"/>
        <v>0.8750000000000004</v>
      </c>
    </row>
    <row r="65" spans="1:11" ht="12.75">
      <c r="A65" s="295">
        <v>1.27</v>
      </c>
      <c r="B65" s="285">
        <v>1.15</v>
      </c>
      <c r="C65" s="314">
        <v>530</v>
      </c>
      <c r="D65" s="316">
        <f t="shared" si="1"/>
        <v>0.2700000000000001</v>
      </c>
      <c r="E65" s="314"/>
      <c r="F65" s="318"/>
      <c r="I65" s="129">
        <v>35</v>
      </c>
      <c r="J65" s="414">
        <f t="shared" si="3"/>
        <v>0.7500000000000004</v>
      </c>
      <c r="K65" s="415">
        <f t="shared" si="2"/>
        <v>0.9000000000000005</v>
      </c>
    </row>
    <row r="66" spans="1:11" ht="12.75">
      <c r="A66" s="295">
        <v>1.28</v>
      </c>
      <c r="B66" s="285">
        <v>1.15</v>
      </c>
      <c r="C66" s="314">
        <v>550</v>
      </c>
      <c r="D66" s="316">
        <f t="shared" si="1"/>
        <v>0.2800000000000001</v>
      </c>
      <c r="E66" s="314"/>
      <c r="F66" s="318"/>
      <c r="I66" s="129">
        <v>36</v>
      </c>
      <c r="J66" s="414">
        <f aca="true" t="shared" si="4" ref="J66:J75">J65</f>
        <v>0.7500000000000004</v>
      </c>
      <c r="K66" s="415">
        <f t="shared" si="2"/>
        <v>0.9000000000000005</v>
      </c>
    </row>
    <row r="67" spans="1:11" ht="12.75">
      <c r="A67" s="295">
        <v>1.29</v>
      </c>
      <c r="B67" s="285">
        <v>1.16</v>
      </c>
      <c r="C67" s="314">
        <v>570</v>
      </c>
      <c r="D67" s="316">
        <f t="shared" si="1"/>
        <v>0.2900000000000001</v>
      </c>
      <c r="E67" s="314"/>
      <c r="F67" s="318"/>
      <c r="I67" s="129">
        <v>37</v>
      </c>
      <c r="J67" s="414">
        <f t="shared" si="4"/>
        <v>0.7500000000000004</v>
      </c>
      <c r="K67" s="415">
        <f t="shared" si="2"/>
        <v>0.9000000000000005</v>
      </c>
    </row>
    <row r="68" spans="1:11" ht="12.75">
      <c r="A68" s="295">
        <v>1.3</v>
      </c>
      <c r="B68" s="285">
        <v>1.17</v>
      </c>
      <c r="C68" s="314">
        <v>590</v>
      </c>
      <c r="D68" s="316">
        <f t="shared" si="1"/>
        <v>0.3000000000000001</v>
      </c>
      <c r="E68" s="314"/>
      <c r="F68" s="318"/>
      <c r="I68" s="129">
        <v>38</v>
      </c>
      <c r="J68" s="414">
        <f t="shared" si="4"/>
        <v>0.7500000000000004</v>
      </c>
      <c r="K68" s="415">
        <f t="shared" si="2"/>
        <v>0.9000000000000005</v>
      </c>
    </row>
    <row r="69" spans="1:11" ht="12.75">
      <c r="A69" s="295">
        <v>1.31</v>
      </c>
      <c r="B69" s="285">
        <v>1.17</v>
      </c>
      <c r="C69" s="314">
        <v>610</v>
      </c>
      <c r="D69" s="316">
        <f t="shared" si="1"/>
        <v>0.3100000000000001</v>
      </c>
      <c r="E69" s="314"/>
      <c r="F69" s="318"/>
      <c r="I69" s="129">
        <v>39</v>
      </c>
      <c r="J69" s="414">
        <f t="shared" si="4"/>
        <v>0.7500000000000004</v>
      </c>
      <c r="K69" s="415">
        <f t="shared" si="2"/>
        <v>0.9000000000000005</v>
      </c>
    </row>
    <row r="70" spans="1:11" ht="12.75">
      <c r="A70" s="295">
        <v>1.32</v>
      </c>
      <c r="B70" s="285">
        <v>1.18</v>
      </c>
      <c r="C70" s="314">
        <v>630</v>
      </c>
      <c r="D70" s="316">
        <f t="shared" si="1"/>
        <v>0.3200000000000001</v>
      </c>
      <c r="E70" s="314"/>
      <c r="F70" s="318"/>
      <c r="I70" s="129">
        <v>40</v>
      </c>
      <c r="J70" s="414">
        <f t="shared" si="4"/>
        <v>0.7500000000000004</v>
      </c>
      <c r="K70" s="415">
        <f t="shared" si="2"/>
        <v>0.9000000000000005</v>
      </c>
    </row>
    <row r="71" spans="1:11" ht="12.75">
      <c r="A71" s="295">
        <v>1.33</v>
      </c>
      <c r="B71" s="285">
        <v>1.19</v>
      </c>
      <c r="C71" s="314">
        <v>650</v>
      </c>
      <c r="D71" s="316">
        <f t="shared" si="1"/>
        <v>0.3300000000000001</v>
      </c>
      <c r="E71" s="314"/>
      <c r="F71" s="318"/>
      <c r="I71" s="129">
        <v>41</v>
      </c>
      <c r="J71" s="414">
        <f t="shared" si="4"/>
        <v>0.7500000000000004</v>
      </c>
      <c r="K71" s="415">
        <f t="shared" si="2"/>
        <v>0.9000000000000005</v>
      </c>
    </row>
    <row r="72" spans="1:11" ht="12.75">
      <c r="A72" s="295">
        <v>1.34</v>
      </c>
      <c r="B72" s="285">
        <v>1.19</v>
      </c>
      <c r="C72" s="314">
        <v>670</v>
      </c>
      <c r="D72" s="316">
        <f t="shared" si="1"/>
        <v>0.34000000000000014</v>
      </c>
      <c r="E72" s="314"/>
      <c r="F72" s="318"/>
      <c r="I72" s="129">
        <v>42</v>
      </c>
      <c r="J72" s="414">
        <f t="shared" si="4"/>
        <v>0.7500000000000004</v>
      </c>
      <c r="K72" s="415">
        <f t="shared" si="2"/>
        <v>0.9000000000000005</v>
      </c>
    </row>
    <row r="73" spans="1:11" ht="12.75">
      <c r="A73" s="295">
        <v>1.35</v>
      </c>
      <c r="B73" s="285">
        <v>1.2</v>
      </c>
      <c r="C73" s="314">
        <v>690</v>
      </c>
      <c r="D73" s="316">
        <f t="shared" si="1"/>
        <v>0.35000000000000014</v>
      </c>
      <c r="E73" s="314"/>
      <c r="F73" s="318"/>
      <c r="I73" s="129">
        <v>43</v>
      </c>
      <c r="J73" s="414">
        <f t="shared" si="4"/>
        <v>0.7500000000000004</v>
      </c>
      <c r="K73" s="415">
        <f t="shared" si="2"/>
        <v>0.9000000000000005</v>
      </c>
    </row>
    <row r="74" spans="1:11" ht="12.75">
      <c r="A74" s="295">
        <v>1.36</v>
      </c>
      <c r="B74" s="285">
        <v>1.21</v>
      </c>
      <c r="C74" s="314">
        <v>710</v>
      </c>
      <c r="D74" s="316">
        <f t="shared" si="1"/>
        <v>0.36000000000000015</v>
      </c>
      <c r="E74" s="314"/>
      <c r="F74" s="318"/>
      <c r="I74" s="129">
        <v>44</v>
      </c>
      <c r="J74" s="414">
        <f t="shared" si="4"/>
        <v>0.7500000000000004</v>
      </c>
      <c r="K74" s="415">
        <f t="shared" si="2"/>
        <v>0.9000000000000005</v>
      </c>
    </row>
    <row r="75" spans="1:11" ht="12.75">
      <c r="A75" s="295">
        <v>1.37</v>
      </c>
      <c r="B75" s="285">
        <v>1.21</v>
      </c>
      <c r="C75" s="314">
        <v>730</v>
      </c>
      <c r="D75" s="316">
        <f t="shared" si="1"/>
        <v>0.37000000000000016</v>
      </c>
      <c r="E75" s="314"/>
      <c r="F75" s="51"/>
      <c r="I75" s="129">
        <v>45</v>
      </c>
      <c r="J75" s="414">
        <f t="shared" si="4"/>
        <v>0.7500000000000004</v>
      </c>
      <c r="K75" s="415">
        <f t="shared" si="2"/>
        <v>0.9000000000000005</v>
      </c>
    </row>
    <row r="76" spans="1:6" ht="12.75">
      <c r="A76" s="295">
        <v>1.38</v>
      </c>
      <c r="B76" s="285">
        <v>1.22</v>
      </c>
      <c r="C76" s="314">
        <v>750</v>
      </c>
      <c r="D76" s="316">
        <f t="shared" si="1"/>
        <v>0.38000000000000017</v>
      </c>
      <c r="E76" s="314"/>
      <c r="F76" s="51"/>
    </row>
    <row r="77" spans="1:6" ht="12.75">
      <c r="A77" s="295">
        <v>1.39</v>
      </c>
      <c r="B77" s="285">
        <v>1.23</v>
      </c>
      <c r="C77" s="314">
        <v>770</v>
      </c>
      <c r="D77" s="316">
        <f t="shared" si="1"/>
        <v>0.3900000000000002</v>
      </c>
      <c r="E77" s="314"/>
      <c r="F77" s="51"/>
    </row>
    <row r="78" spans="1:6" ht="12.75">
      <c r="A78" s="295">
        <v>1.4</v>
      </c>
      <c r="B78" s="285">
        <v>1.23</v>
      </c>
      <c r="C78" s="314">
        <v>790</v>
      </c>
      <c r="D78" s="316">
        <f t="shared" si="1"/>
        <v>0.4000000000000002</v>
      </c>
      <c r="E78" s="314"/>
      <c r="F78" s="51"/>
    </row>
    <row r="79" spans="1:6" ht="12.75">
      <c r="A79" s="295">
        <v>1.41</v>
      </c>
      <c r="B79" s="285">
        <v>1.24</v>
      </c>
      <c r="C79" s="314">
        <v>810</v>
      </c>
      <c r="D79" s="316">
        <f t="shared" si="1"/>
        <v>0.4100000000000002</v>
      </c>
      <c r="E79" s="314"/>
      <c r="F79" s="51"/>
    </row>
    <row r="80" spans="1:6" ht="12.75">
      <c r="A80" s="295">
        <v>1.42</v>
      </c>
      <c r="B80" s="285">
        <v>1.25</v>
      </c>
      <c r="C80" s="314">
        <v>830</v>
      </c>
      <c r="D80" s="316">
        <f t="shared" si="1"/>
        <v>0.4200000000000002</v>
      </c>
      <c r="E80" s="314"/>
      <c r="F80" s="51"/>
    </row>
    <row r="81" spans="1:6" ht="12.75">
      <c r="A81" s="295">
        <v>1.43</v>
      </c>
      <c r="B81" s="285">
        <v>1.25</v>
      </c>
      <c r="C81" s="314">
        <v>850</v>
      </c>
      <c r="D81" s="316">
        <f t="shared" si="1"/>
        <v>0.4300000000000002</v>
      </c>
      <c r="E81" s="314"/>
      <c r="F81" s="51"/>
    </row>
    <row r="82" spans="1:6" ht="12.75">
      <c r="A82" s="295">
        <v>1.44</v>
      </c>
      <c r="B82" s="285">
        <v>1.26</v>
      </c>
      <c r="C82" s="314">
        <v>870</v>
      </c>
      <c r="D82" s="316">
        <f t="shared" si="1"/>
        <v>0.4400000000000002</v>
      </c>
      <c r="E82" s="314"/>
      <c r="F82" s="51"/>
    </row>
    <row r="83" spans="1:6" ht="12.75">
      <c r="A83" s="295">
        <v>1.45</v>
      </c>
      <c r="B83" s="285">
        <v>1.27</v>
      </c>
      <c r="C83" s="314">
        <v>890</v>
      </c>
      <c r="D83" s="316">
        <f t="shared" si="1"/>
        <v>0.45000000000000023</v>
      </c>
      <c r="E83" s="314"/>
      <c r="F83" s="51"/>
    </row>
    <row r="84" spans="1:6" ht="12.75">
      <c r="A84" s="295">
        <v>1.46</v>
      </c>
      <c r="B84" s="285">
        <v>1.27</v>
      </c>
      <c r="C84" s="314">
        <v>910</v>
      </c>
      <c r="D84" s="316">
        <f t="shared" si="1"/>
        <v>0.46000000000000024</v>
      </c>
      <c r="E84" s="314"/>
      <c r="F84" s="51"/>
    </row>
    <row r="85" spans="1:6" ht="12.75">
      <c r="A85" s="295">
        <v>1.47</v>
      </c>
      <c r="B85" s="285">
        <v>1.28</v>
      </c>
      <c r="C85" s="314">
        <v>930</v>
      </c>
      <c r="D85" s="316">
        <f t="shared" si="1"/>
        <v>0.47000000000000025</v>
      </c>
      <c r="E85" s="314"/>
      <c r="F85" s="51"/>
    </row>
    <row r="86" spans="1:6" ht="12.75">
      <c r="A86" s="295">
        <v>1.48</v>
      </c>
      <c r="B86" s="285">
        <v>1.29</v>
      </c>
      <c r="C86" s="314">
        <v>950</v>
      </c>
      <c r="D86" s="316">
        <f t="shared" si="1"/>
        <v>0.48000000000000026</v>
      </c>
      <c r="E86" s="314"/>
      <c r="F86" s="51"/>
    </row>
    <row r="87" spans="1:6" ht="12.75">
      <c r="A87" s="295">
        <v>1.49</v>
      </c>
      <c r="B87" s="285">
        <v>1.29</v>
      </c>
      <c r="C87" s="314">
        <v>970</v>
      </c>
      <c r="D87" s="316">
        <f t="shared" si="1"/>
        <v>0.49000000000000027</v>
      </c>
      <c r="E87" s="314"/>
      <c r="F87" s="51"/>
    </row>
    <row r="88" spans="1:6" ht="12.75">
      <c r="A88" s="295">
        <v>1.5</v>
      </c>
      <c r="B88" s="285">
        <v>1.3</v>
      </c>
      <c r="C88" s="314">
        <v>1000</v>
      </c>
      <c r="D88" s="316">
        <f t="shared" si="1"/>
        <v>0.5000000000000002</v>
      </c>
      <c r="E88" s="314"/>
      <c r="F88" s="51"/>
    </row>
    <row r="89" spans="1:6" ht="12.75">
      <c r="A89" s="295">
        <v>1.51</v>
      </c>
      <c r="B89" s="285">
        <v>1.32</v>
      </c>
      <c r="C89" s="314">
        <v>1010</v>
      </c>
      <c r="D89" s="316">
        <f t="shared" si="1"/>
        <v>0.5100000000000002</v>
      </c>
      <c r="E89" s="314"/>
      <c r="F89" s="51"/>
    </row>
    <row r="90" spans="1:6" ht="12.75">
      <c r="A90" s="295">
        <v>1.52</v>
      </c>
      <c r="B90" s="285">
        <v>1.34</v>
      </c>
      <c r="C90" s="314">
        <v>1029</v>
      </c>
      <c r="D90" s="316">
        <f t="shared" si="1"/>
        <v>0.5200000000000002</v>
      </c>
      <c r="E90" s="314"/>
      <c r="F90" s="51"/>
    </row>
    <row r="91" spans="1:6" ht="12.75">
      <c r="A91" s="295">
        <v>1.53</v>
      </c>
      <c r="B91" s="285">
        <v>1.36</v>
      </c>
      <c r="C91" s="314">
        <v>1048</v>
      </c>
      <c r="D91" s="316">
        <f t="shared" si="1"/>
        <v>0.5300000000000002</v>
      </c>
      <c r="E91" s="314"/>
      <c r="F91" s="51"/>
    </row>
    <row r="92" spans="1:6" ht="12.75">
      <c r="A92" s="295">
        <v>1.54</v>
      </c>
      <c r="B92" s="285">
        <v>1.38</v>
      </c>
      <c r="C92" s="314">
        <v>1067</v>
      </c>
      <c r="D92" s="316">
        <f t="shared" si="1"/>
        <v>0.5400000000000003</v>
      </c>
      <c r="E92" s="314"/>
      <c r="F92" s="51"/>
    </row>
    <row r="93" spans="1:6" ht="12.75">
      <c r="A93" s="295">
        <v>1.55</v>
      </c>
      <c r="B93" s="285">
        <v>1.4</v>
      </c>
      <c r="C93" s="314">
        <v>1086</v>
      </c>
      <c r="D93" s="316">
        <f t="shared" si="1"/>
        <v>0.5500000000000003</v>
      </c>
      <c r="E93" s="314"/>
      <c r="F93" s="51"/>
    </row>
    <row r="94" spans="1:6" ht="12.75">
      <c r="A94" s="295">
        <v>1.56</v>
      </c>
      <c r="B94" s="285">
        <v>1.42</v>
      </c>
      <c r="C94" s="314">
        <v>1105</v>
      </c>
      <c r="D94" s="316">
        <f t="shared" si="1"/>
        <v>0.5600000000000003</v>
      </c>
      <c r="E94" s="314"/>
      <c r="F94" s="51"/>
    </row>
    <row r="95" spans="1:6" ht="12.75">
      <c r="A95" s="295">
        <v>1.57</v>
      </c>
      <c r="B95" s="285">
        <v>1.44</v>
      </c>
      <c r="C95" s="314">
        <v>1124</v>
      </c>
      <c r="D95" s="316">
        <f t="shared" si="1"/>
        <v>0.5700000000000003</v>
      </c>
      <c r="E95" s="314"/>
      <c r="F95" s="51"/>
    </row>
    <row r="96" spans="1:6" ht="12.75">
      <c r="A96" s="295">
        <v>1.58</v>
      </c>
      <c r="B96" s="285">
        <v>1.46</v>
      </c>
      <c r="C96" s="314">
        <v>1143</v>
      </c>
      <c r="D96" s="316">
        <f t="shared" si="1"/>
        <v>0.5800000000000003</v>
      </c>
      <c r="E96" s="314"/>
      <c r="F96" s="51"/>
    </row>
    <row r="97" spans="1:6" ht="12.75">
      <c r="A97" s="295">
        <v>1.59</v>
      </c>
      <c r="B97" s="285">
        <v>1.48</v>
      </c>
      <c r="C97" s="314">
        <v>1162</v>
      </c>
      <c r="D97" s="316">
        <f t="shared" si="1"/>
        <v>0.5900000000000003</v>
      </c>
      <c r="E97" s="314"/>
      <c r="F97" s="51"/>
    </row>
    <row r="98" spans="1:6" ht="12.75">
      <c r="A98" s="295">
        <v>1.6</v>
      </c>
      <c r="B98" s="285">
        <v>1.5</v>
      </c>
      <c r="C98" s="314">
        <v>1181</v>
      </c>
      <c r="D98" s="316">
        <f t="shared" si="1"/>
        <v>0.6000000000000003</v>
      </c>
      <c r="E98" s="314"/>
      <c r="F98" s="51"/>
    </row>
    <row r="99" spans="1:6" ht="12.75">
      <c r="A99" s="295">
        <v>1.61</v>
      </c>
      <c r="B99" s="285">
        <v>1.52</v>
      </c>
      <c r="C99" s="314">
        <v>1200</v>
      </c>
      <c r="D99" s="316">
        <f t="shared" si="1"/>
        <v>0.6100000000000003</v>
      </c>
      <c r="E99" s="314"/>
      <c r="F99" s="51"/>
    </row>
    <row r="100" spans="1:6" ht="12.75">
      <c r="A100" s="295">
        <v>1.62</v>
      </c>
      <c r="B100" s="285">
        <v>1.54</v>
      </c>
      <c r="C100" s="314">
        <v>1219</v>
      </c>
      <c r="D100" s="316">
        <f t="shared" si="1"/>
        <v>0.6200000000000003</v>
      </c>
      <c r="E100" s="314"/>
      <c r="F100" s="51"/>
    </row>
    <row r="101" spans="1:6" ht="12.75">
      <c r="A101" s="295">
        <v>1.63</v>
      </c>
      <c r="B101" s="285">
        <v>1.56</v>
      </c>
      <c r="C101" s="314">
        <v>1239</v>
      </c>
      <c r="D101" s="316">
        <f t="shared" si="1"/>
        <v>0.6300000000000003</v>
      </c>
      <c r="E101" s="314"/>
      <c r="F101" s="51"/>
    </row>
    <row r="102" spans="1:6" ht="12.75">
      <c r="A102" s="295">
        <v>1.64</v>
      </c>
      <c r="B102" s="285">
        <v>1.58</v>
      </c>
      <c r="C102" s="314">
        <v>1257</v>
      </c>
      <c r="D102" s="316">
        <f t="shared" si="1"/>
        <v>0.6400000000000003</v>
      </c>
      <c r="E102" s="314"/>
      <c r="F102" s="51"/>
    </row>
    <row r="103" spans="1:6" ht="13.5" thickBot="1">
      <c r="A103" s="296">
        <v>1.65</v>
      </c>
      <c r="B103" s="322">
        <v>1.6</v>
      </c>
      <c r="C103" s="314">
        <v>1276</v>
      </c>
      <c r="D103" s="316">
        <f t="shared" si="1"/>
        <v>0.6500000000000004</v>
      </c>
      <c r="E103" s="314"/>
      <c r="F103" s="51"/>
    </row>
    <row r="104" spans="1:6" ht="12.75">
      <c r="A104"/>
      <c r="B104"/>
      <c r="C104" s="314">
        <v>1295</v>
      </c>
      <c r="D104" s="316">
        <f aca="true" t="shared" si="5" ref="D104:D138">D103+0.01</f>
        <v>0.6600000000000004</v>
      </c>
      <c r="E104" s="314"/>
      <c r="F104" s="51"/>
    </row>
    <row r="105" spans="1:6" ht="12.75">
      <c r="A105"/>
      <c r="B105"/>
      <c r="C105" s="314">
        <v>1314</v>
      </c>
      <c r="D105" s="316">
        <f t="shared" si="5"/>
        <v>0.6700000000000004</v>
      </c>
      <c r="E105" s="314"/>
      <c r="F105" s="51"/>
    </row>
    <row r="106" spans="1:6" ht="12.75">
      <c r="A106"/>
      <c r="B106"/>
      <c r="C106" s="314">
        <v>1333</v>
      </c>
      <c r="D106" s="316">
        <f t="shared" si="5"/>
        <v>0.6800000000000004</v>
      </c>
      <c r="E106" s="314"/>
      <c r="F106" s="51"/>
    </row>
    <row r="107" spans="1:6" ht="12.75">
      <c r="A107"/>
      <c r="B107"/>
      <c r="C107" s="314">
        <v>1352</v>
      </c>
      <c r="D107" s="316">
        <f t="shared" si="5"/>
        <v>0.6900000000000004</v>
      </c>
      <c r="E107" s="314"/>
      <c r="F107" s="51"/>
    </row>
    <row r="108" spans="1:6" ht="12.75">
      <c r="A108"/>
      <c r="B108"/>
      <c r="C108" s="314">
        <v>1371</v>
      </c>
      <c r="D108" s="316">
        <f t="shared" si="5"/>
        <v>0.7000000000000004</v>
      </c>
      <c r="E108" s="314"/>
      <c r="F108" s="51"/>
    </row>
    <row r="109" spans="1:6" ht="12.75">
      <c r="A109"/>
      <c r="B109"/>
      <c r="C109" s="314">
        <v>1390</v>
      </c>
      <c r="D109" s="316">
        <f t="shared" si="5"/>
        <v>0.7100000000000004</v>
      </c>
      <c r="E109" s="314"/>
      <c r="F109" s="51"/>
    </row>
    <row r="110" spans="1:6" ht="12.75">
      <c r="A110"/>
      <c r="B110"/>
      <c r="C110" s="314">
        <v>1409</v>
      </c>
      <c r="D110" s="316">
        <f t="shared" si="5"/>
        <v>0.7200000000000004</v>
      </c>
      <c r="E110" s="314"/>
      <c r="F110" s="51"/>
    </row>
    <row r="111" spans="1:6" ht="12.75">
      <c r="A111"/>
      <c r="B111"/>
      <c r="C111" s="314">
        <v>1428</v>
      </c>
      <c r="D111" s="316">
        <f t="shared" si="5"/>
        <v>0.7300000000000004</v>
      </c>
      <c r="E111" s="314"/>
      <c r="F111" s="51"/>
    </row>
    <row r="112" spans="1:6" ht="12.75">
      <c r="A112"/>
      <c r="B112"/>
      <c r="C112" s="314">
        <v>1447</v>
      </c>
      <c r="D112" s="316">
        <f t="shared" si="5"/>
        <v>0.7400000000000004</v>
      </c>
      <c r="E112" s="314"/>
      <c r="F112" s="51"/>
    </row>
    <row r="113" spans="1:6" ht="12.75">
      <c r="A113"/>
      <c r="B113"/>
      <c r="C113" s="314">
        <v>1466</v>
      </c>
      <c r="D113" s="316">
        <f t="shared" si="5"/>
        <v>0.7500000000000004</v>
      </c>
      <c r="E113" s="314"/>
      <c r="F113" s="51"/>
    </row>
    <row r="114" spans="1:6" ht="12.75">
      <c r="A114"/>
      <c r="B114"/>
      <c r="C114" s="314">
        <v>1485</v>
      </c>
      <c r="D114" s="316">
        <f t="shared" si="5"/>
        <v>0.7600000000000005</v>
      </c>
      <c r="E114" s="314"/>
      <c r="F114" s="51"/>
    </row>
    <row r="115" spans="1:6" ht="12.75">
      <c r="A115"/>
      <c r="B115"/>
      <c r="C115" s="314">
        <v>1504</v>
      </c>
      <c r="D115" s="316">
        <f t="shared" si="5"/>
        <v>0.7700000000000005</v>
      </c>
      <c r="E115" s="314"/>
      <c r="F115" s="51"/>
    </row>
    <row r="116" spans="1:6" ht="12.75">
      <c r="A116"/>
      <c r="B116"/>
      <c r="C116" s="314">
        <v>1523</v>
      </c>
      <c r="D116" s="316">
        <f t="shared" si="5"/>
        <v>0.7800000000000005</v>
      </c>
      <c r="E116" s="314"/>
      <c r="F116" s="51"/>
    </row>
    <row r="117" spans="1:6" ht="12.75">
      <c r="A117"/>
      <c r="B117"/>
      <c r="C117" s="314">
        <v>1542</v>
      </c>
      <c r="D117" s="316">
        <f t="shared" si="5"/>
        <v>0.7900000000000005</v>
      </c>
      <c r="E117" s="314"/>
      <c r="F117" s="51"/>
    </row>
    <row r="118" spans="1:6" ht="12.75">
      <c r="A118"/>
      <c r="B118"/>
      <c r="C118" s="314">
        <v>1561</v>
      </c>
      <c r="D118" s="316">
        <f t="shared" si="5"/>
        <v>0.8000000000000005</v>
      </c>
      <c r="E118" s="314"/>
      <c r="F118" s="51"/>
    </row>
    <row r="119" spans="1:6" ht="12.75">
      <c r="A119"/>
      <c r="B119"/>
      <c r="C119" s="314">
        <v>1580</v>
      </c>
      <c r="D119" s="316">
        <f t="shared" si="5"/>
        <v>0.8100000000000005</v>
      </c>
      <c r="E119" s="314"/>
      <c r="F119" s="51"/>
    </row>
    <row r="120" spans="1:6" ht="12.75">
      <c r="A120"/>
      <c r="B120"/>
      <c r="C120" s="314">
        <v>1599</v>
      </c>
      <c r="D120" s="316">
        <f t="shared" si="5"/>
        <v>0.8200000000000005</v>
      </c>
      <c r="E120" s="314"/>
      <c r="F120" s="51"/>
    </row>
    <row r="121" spans="1:6" ht="12.75">
      <c r="A121"/>
      <c r="B121"/>
      <c r="C121" s="314">
        <v>1618</v>
      </c>
      <c r="D121" s="316">
        <f t="shared" si="5"/>
        <v>0.8300000000000005</v>
      </c>
      <c r="E121" s="314"/>
      <c r="F121" s="51"/>
    </row>
    <row r="122" spans="1:6" ht="12.75">
      <c r="A122"/>
      <c r="B122"/>
      <c r="C122" s="314">
        <v>1637</v>
      </c>
      <c r="D122" s="316">
        <f t="shared" si="5"/>
        <v>0.8400000000000005</v>
      </c>
      <c r="E122" s="314"/>
      <c r="F122" s="51"/>
    </row>
    <row r="123" spans="1:6" ht="12.75">
      <c r="A123"/>
      <c r="B123"/>
      <c r="C123" s="314">
        <v>1656</v>
      </c>
      <c r="D123" s="316">
        <f t="shared" si="5"/>
        <v>0.8500000000000005</v>
      </c>
      <c r="E123" s="314"/>
      <c r="F123" s="51"/>
    </row>
    <row r="124" spans="1:6" ht="12.75">
      <c r="A124"/>
      <c r="B124"/>
      <c r="C124" s="314">
        <v>1675</v>
      </c>
      <c r="D124" s="316">
        <f t="shared" si="5"/>
        <v>0.8600000000000005</v>
      </c>
      <c r="E124" s="314"/>
      <c r="F124" s="51"/>
    </row>
    <row r="125" spans="1:6" ht="12.75">
      <c r="A125"/>
      <c r="B125"/>
      <c r="C125" s="314">
        <v>1694</v>
      </c>
      <c r="D125" s="316">
        <f t="shared" si="5"/>
        <v>0.8700000000000006</v>
      </c>
      <c r="E125" s="314"/>
      <c r="F125" s="51"/>
    </row>
    <row r="126" spans="1:6" ht="12.75">
      <c r="A126"/>
      <c r="B126"/>
      <c r="C126" s="314">
        <v>1713</v>
      </c>
      <c r="D126" s="316">
        <f t="shared" si="5"/>
        <v>0.8800000000000006</v>
      </c>
      <c r="E126" s="314"/>
      <c r="F126" s="51"/>
    </row>
    <row r="127" spans="1:6" ht="12.75">
      <c r="A127"/>
      <c r="B127"/>
      <c r="C127" s="314">
        <v>1732</v>
      </c>
      <c r="D127" s="316">
        <f t="shared" si="5"/>
        <v>0.8900000000000006</v>
      </c>
      <c r="E127" s="314"/>
      <c r="F127" s="51"/>
    </row>
    <row r="128" spans="1:6" ht="12.75">
      <c r="A128"/>
      <c r="B128"/>
      <c r="C128" s="314">
        <v>1751</v>
      </c>
      <c r="D128" s="316">
        <f t="shared" si="5"/>
        <v>0.9000000000000006</v>
      </c>
      <c r="E128" s="314"/>
      <c r="F128" s="51"/>
    </row>
    <row r="129" spans="1:6" ht="12.75">
      <c r="A129"/>
      <c r="B129"/>
      <c r="C129" s="314">
        <v>1770</v>
      </c>
      <c r="D129" s="316">
        <f t="shared" si="5"/>
        <v>0.9100000000000006</v>
      </c>
      <c r="E129" s="314"/>
      <c r="F129" s="51"/>
    </row>
    <row r="130" spans="1:6" ht="12.75">
      <c r="A130"/>
      <c r="B130"/>
      <c r="C130" s="314">
        <v>1789</v>
      </c>
      <c r="D130" s="316">
        <f t="shared" si="5"/>
        <v>0.9200000000000006</v>
      </c>
      <c r="E130" s="314"/>
      <c r="F130" s="51"/>
    </row>
    <row r="131" spans="1:6" ht="12.75">
      <c r="A131"/>
      <c r="B131"/>
      <c r="C131" s="314">
        <v>1808</v>
      </c>
      <c r="D131" s="316">
        <f t="shared" si="5"/>
        <v>0.9300000000000006</v>
      </c>
      <c r="E131" s="314"/>
      <c r="F131" s="51"/>
    </row>
    <row r="132" spans="1:6" ht="12.75">
      <c r="A132"/>
      <c r="B132"/>
      <c r="C132" s="314">
        <v>1827</v>
      </c>
      <c r="D132" s="316">
        <f t="shared" si="5"/>
        <v>0.9400000000000006</v>
      </c>
      <c r="E132" s="314"/>
      <c r="F132" s="51"/>
    </row>
    <row r="133" spans="1:6" ht="12.75">
      <c r="A133"/>
      <c r="B133"/>
      <c r="C133" s="314">
        <v>1846</v>
      </c>
      <c r="D133" s="316">
        <f t="shared" si="5"/>
        <v>0.9500000000000006</v>
      </c>
      <c r="E133" s="314"/>
      <c r="F133" s="51"/>
    </row>
    <row r="134" spans="1:6" ht="12.75">
      <c r="A134"/>
      <c r="B134"/>
      <c r="C134" s="314">
        <v>1865</v>
      </c>
      <c r="D134" s="316">
        <f t="shared" si="5"/>
        <v>0.9600000000000006</v>
      </c>
      <c r="E134" s="314"/>
      <c r="F134" s="51"/>
    </row>
    <row r="135" spans="1:6" ht="12.75">
      <c r="A135"/>
      <c r="B135"/>
      <c r="C135" s="314">
        <v>1884</v>
      </c>
      <c r="D135" s="316">
        <f t="shared" si="5"/>
        <v>0.9700000000000006</v>
      </c>
      <c r="E135" s="314"/>
      <c r="F135" s="51"/>
    </row>
    <row r="136" spans="1:6" ht="12.75">
      <c r="A136"/>
      <c r="B136"/>
      <c r="C136" s="314">
        <v>1903</v>
      </c>
      <c r="D136" s="316">
        <f t="shared" si="5"/>
        <v>0.9800000000000006</v>
      </c>
      <c r="E136" s="314"/>
      <c r="F136" s="51"/>
    </row>
    <row r="137" spans="1:6" ht="12.75">
      <c r="A137"/>
      <c r="B137"/>
      <c r="C137" s="314">
        <v>1922</v>
      </c>
      <c r="D137" s="316">
        <f t="shared" si="5"/>
        <v>0.9900000000000007</v>
      </c>
      <c r="E137" s="314"/>
      <c r="F137" s="51"/>
    </row>
    <row r="138" spans="1:6" ht="13.5" thickBot="1">
      <c r="A138"/>
      <c r="B138"/>
      <c r="C138" s="315">
        <v>1950</v>
      </c>
      <c r="D138" s="317">
        <f t="shared" si="5"/>
        <v>1.0000000000000007</v>
      </c>
      <c r="E138" s="315"/>
      <c r="F138" s="319"/>
    </row>
  </sheetData>
  <sheetProtection password="CFA3" sheet="1"/>
  <mergeCells count="2">
    <mergeCell ref="A10:B10"/>
    <mergeCell ref="C10:E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26" sqref="K26"/>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1:AT275"/>
  <sheetViews>
    <sheetView zoomScalePageLayoutView="0" workbookViewId="0" topLeftCell="F34">
      <selection activeCell="R63" sqref="R63"/>
    </sheetView>
  </sheetViews>
  <sheetFormatPr defaultColWidth="9.140625" defaultRowHeight="12.75"/>
  <cols>
    <col min="1" max="1" width="12.8515625" style="0" customWidth="1"/>
    <col min="2" max="2" width="14.00390625" style="0" customWidth="1"/>
    <col min="3" max="4" width="10.57421875" style="0" customWidth="1"/>
    <col min="5" max="5" width="10.7109375" style="0" customWidth="1"/>
    <col min="6" max="6" width="10.00390625" style="0" customWidth="1"/>
    <col min="11" max="11" width="9.7109375" style="0" customWidth="1"/>
    <col min="12" max="12" width="8.421875" style="0" customWidth="1"/>
    <col min="13" max="13" width="13.421875" style="0" customWidth="1"/>
    <col min="14" max="14" width="12.57421875" style="0" customWidth="1"/>
    <col min="15" max="15" width="9.7109375" style="0" customWidth="1"/>
    <col min="16" max="16" width="9.57421875" style="0" customWidth="1"/>
    <col min="18" max="18" width="8.7109375" style="0" customWidth="1"/>
    <col min="19" max="19" width="8.421875" style="0" customWidth="1"/>
    <col min="20" max="20" width="9.8515625" style="0" customWidth="1"/>
    <col min="24" max="24" width="10.57421875" style="0" customWidth="1"/>
    <col min="31" max="31" width="8.00390625" style="0" customWidth="1"/>
    <col min="32" max="32" width="9.7109375" style="0" customWidth="1"/>
    <col min="35" max="35" width="9.7109375" style="0" bestFit="1" customWidth="1"/>
  </cols>
  <sheetData>
    <row r="1" spans="1:40" ht="15">
      <c r="A1" s="29" t="s">
        <v>292</v>
      </c>
      <c r="B1" s="20"/>
      <c r="C1" s="20"/>
      <c r="D1" s="20">
        <v>2015</v>
      </c>
      <c r="AH1" s="38" t="s">
        <v>412</v>
      </c>
      <c r="AI1" s="38"/>
      <c r="AJ1" s="38">
        <v>2016</v>
      </c>
      <c r="AK1" s="38"/>
      <c r="AN1" t="s">
        <v>327</v>
      </c>
    </row>
    <row r="2" spans="1:41" ht="15.75" thickBot="1">
      <c r="A2" s="1"/>
      <c r="C2" s="1"/>
      <c r="AC2" s="20" t="s">
        <v>145</v>
      </c>
      <c r="AH2" s="38" t="s">
        <v>413</v>
      </c>
      <c r="AI2" s="38"/>
      <c r="AJ2" s="38" t="s">
        <v>797</v>
      </c>
      <c r="AK2" s="38">
        <v>2016.1</v>
      </c>
      <c r="AN2" t="s">
        <v>328</v>
      </c>
      <c r="AO2" t="s">
        <v>329</v>
      </c>
    </row>
    <row r="3" spans="1:42" ht="15">
      <c r="A3" s="310" t="s">
        <v>28</v>
      </c>
      <c r="B3" s="304"/>
      <c r="C3" s="304"/>
      <c r="D3" s="305">
        <f>LOOKUP($D$1,MCB)</f>
        <v>104.9</v>
      </c>
      <c r="F3" s="347">
        <v>0.0725</v>
      </c>
      <c r="G3" s="200" t="s">
        <v>778</v>
      </c>
      <c r="H3" s="345"/>
      <c r="I3" s="346"/>
      <c r="J3" s="2"/>
      <c r="K3" s="22" t="s">
        <v>312</v>
      </c>
      <c r="AN3">
        <v>10.84</v>
      </c>
      <c r="AO3" t="s">
        <v>330</v>
      </c>
      <c r="AP3" t="s">
        <v>331</v>
      </c>
    </row>
    <row r="4" spans="1:42" ht="15" customHeight="1">
      <c r="A4" s="309" t="s">
        <v>12</v>
      </c>
      <c r="B4" s="306"/>
      <c r="C4" s="306"/>
      <c r="D4" s="307">
        <v>2388</v>
      </c>
      <c r="F4" s="352"/>
      <c r="G4" s="353" t="s">
        <v>113</v>
      </c>
      <c r="H4" s="5"/>
      <c r="I4" s="9"/>
      <c r="AO4" t="s">
        <v>330</v>
      </c>
      <c r="AP4" t="s">
        <v>333</v>
      </c>
    </row>
    <row r="5" spans="1:42" ht="13.5" thickBot="1">
      <c r="A5" s="308" t="s">
        <v>13</v>
      </c>
      <c r="B5" s="53"/>
      <c r="C5" s="53"/>
      <c r="D5" s="303">
        <v>2732</v>
      </c>
      <c r="F5" s="348">
        <v>0.0725</v>
      </c>
      <c r="G5" s="349" t="s">
        <v>778</v>
      </c>
      <c r="H5" s="136"/>
      <c r="I5" s="350"/>
      <c r="K5" s="22" t="s">
        <v>271</v>
      </c>
      <c r="AO5" t="s">
        <v>334</v>
      </c>
      <c r="AP5" t="s">
        <v>335</v>
      </c>
    </row>
    <row r="6" spans="6:42" ht="15.75" customHeight="1" thickBot="1">
      <c r="F6" s="351"/>
      <c r="G6" s="354" t="s">
        <v>109</v>
      </c>
      <c r="H6" s="8"/>
      <c r="I6" s="32"/>
      <c r="K6" s="39"/>
      <c r="AO6" t="s">
        <v>332</v>
      </c>
      <c r="AP6" t="s">
        <v>341</v>
      </c>
    </row>
    <row r="7" spans="11:42" ht="15.75" thickBot="1">
      <c r="K7" s="39"/>
      <c r="AO7" t="s">
        <v>342</v>
      </c>
      <c r="AP7" t="s">
        <v>343</v>
      </c>
    </row>
    <row r="8" spans="1:42" ht="13.5" thickBot="1">
      <c r="A8" s="530" t="s">
        <v>777</v>
      </c>
      <c r="B8" s="532"/>
      <c r="C8" s="530" t="s">
        <v>776</v>
      </c>
      <c r="D8" s="531"/>
      <c r="E8" s="532"/>
      <c r="G8" s="530" t="s">
        <v>15</v>
      </c>
      <c r="H8" s="531"/>
      <c r="I8" s="531"/>
      <c r="J8" s="532"/>
      <c r="L8" s="530" t="s">
        <v>17</v>
      </c>
      <c r="M8" s="531"/>
      <c r="N8" s="532"/>
      <c r="P8" s="19" t="e">
        <f>#REF!</f>
        <v>#REF!</v>
      </c>
      <c r="Q8" s="12"/>
      <c r="R8" s="12"/>
      <c r="S8" s="12"/>
      <c r="T8" s="12"/>
      <c r="U8" s="7"/>
      <c r="V8" s="24"/>
      <c r="W8" s="311"/>
      <c r="X8" s="113" t="s">
        <v>383</v>
      </c>
      <c r="Y8" s="117"/>
      <c r="Z8" s="117"/>
      <c r="AA8" s="210"/>
      <c r="AB8" s="117"/>
      <c r="AC8" s="199"/>
      <c r="AE8" s="545" t="s">
        <v>129</v>
      </c>
      <c r="AF8" s="546"/>
      <c r="AH8" s="36" t="s">
        <v>286</v>
      </c>
      <c r="AI8" s="7"/>
      <c r="AJ8" s="7"/>
      <c r="AK8" s="7"/>
      <c r="AL8" s="7"/>
      <c r="AM8" s="24"/>
      <c r="AP8" t="s">
        <v>344</v>
      </c>
    </row>
    <row r="9" spans="1:42" ht="13.5" thickBot="1">
      <c r="A9" s="323" t="s">
        <v>112</v>
      </c>
      <c r="B9" s="325" t="s">
        <v>9</v>
      </c>
      <c r="C9" s="326">
        <v>0</v>
      </c>
      <c r="D9" s="329">
        <v>0</v>
      </c>
      <c r="E9" s="320">
        <v>0</v>
      </c>
      <c r="G9" s="293"/>
      <c r="H9" s="297" t="s">
        <v>10</v>
      </c>
      <c r="I9" s="289" t="s">
        <v>11</v>
      </c>
      <c r="J9" s="288" t="s">
        <v>16</v>
      </c>
      <c r="L9" s="259"/>
      <c r="M9" s="283" t="s">
        <v>774</v>
      </c>
      <c r="N9" s="284" t="s">
        <v>19</v>
      </c>
      <c r="P9" s="333" t="s">
        <v>18</v>
      </c>
      <c r="Q9" s="334"/>
      <c r="R9" s="35"/>
      <c r="S9" s="13" t="s">
        <v>118</v>
      </c>
      <c r="T9" s="8" t="s">
        <v>119</v>
      </c>
      <c r="U9" s="13" t="s">
        <v>120</v>
      </c>
      <c r="V9" s="14"/>
      <c r="W9" s="217"/>
      <c r="X9" s="208" t="s">
        <v>27</v>
      </c>
      <c r="Y9" s="209"/>
      <c r="Z9" s="209"/>
      <c r="AA9" s="209"/>
      <c r="AB9" s="209"/>
      <c r="AC9" s="211" t="e">
        <f>#REF!</f>
        <v>#REF!</v>
      </c>
      <c r="AE9" s="220">
        <v>1</v>
      </c>
      <c r="AF9" s="203" t="s">
        <v>130</v>
      </c>
      <c r="AH9" s="10" t="s">
        <v>414</v>
      </c>
      <c r="AI9" s="5"/>
      <c r="AJ9" s="5"/>
      <c r="AK9" s="5"/>
      <c r="AL9" s="5"/>
      <c r="AM9" s="9"/>
      <c r="AO9" t="s">
        <v>332</v>
      </c>
      <c r="AP9" t="s">
        <v>348</v>
      </c>
    </row>
    <row r="10" spans="1:42" ht="12.75">
      <c r="A10" s="324">
        <v>0</v>
      </c>
      <c r="B10" s="285">
        <v>0.8</v>
      </c>
      <c r="C10" s="327">
        <v>0.25</v>
      </c>
      <c r="D10" s="330">
        <v>0.02</v>
      </c>
      <c r="E10" s="316">
        <v>0.25</v>
      </c>
      <c r="G10" s="301"/>
      <c r="H10" s="300"/>
      <c r="I10" s="300"/>
      <c r="J10" s="302"/>
      <c r="L10" s="262"/>
      <c r="M10" s="264" t="s">
        <v>23</v>
      </c>
      <c r="N10" s="260" t="s">
        <v>24</v>
      </c>
      <c r="P10" s="244" t="s">
        <v>10</v>
      </c>
      <c r="Q10" s="245" t="s">
        <v>20</v>
      </c>
      <c r="R10" s="246" t="s">
        <v>21</v>
      </c>
      <c r="S10" s="261" t="s">
        <v>22</v>
      </c>
      <c r="T10" s="261" t="s">
        <v>22</v>
      </c>
      <c r="U10" s="261" t="s">
        <v>22</v>
      </c>
      <c r="V10" s="282" t="s">
        <v>110</v>
      </c>
      <c r="W10" s="356" t="s">
        <v>82</v>
      </c>
      <c r="X10" s="212"/>
      <c r="Y10" s="223" t="s">
        <v>118</v>
      </c>
      <c r="Z10" s="223" t="s">
        <v>119</v>
      </c>
      <c r="AA10" s="223" t="s">
        <v>120</v>
      </c>
      <c r="AB10" s="161" t="s">
        <v>29</v>
      </c>
      <c r="AC10" s="363">
        <f>'Update Tables'!D3</f>
        <v>104.9</v>
      </c>
      <c r="AE10" s="221">
        <v>2</v>
      </c>
      <c r="AF10" s="203" t="s">
        <v>131</v>
      </c>
      <c r="AH10" s="10" t="s">
        <v>415</v>
      </c>
      <c r="AI10" s="5"/>
      <c r="AJ10" s="5"/>
      <c r="AK10" s="5"/>
      <c r="AL10" s="5"/>
      <c r="AM10" s="9"/>
      <c r="AO10" t="s">
        <v>332</v>
      </c>
      <c r="AP10" t="s">
        <v>349</v>
      </c>
    </row>
    <row r="11" spans="1:42" ht="12.75">
      <c r="A11" s="295">
        <v>0.75</v>
      </c>
      <c r="B11" s="285">
        <v>0.8</v>
      </c>
      <c r="C11" s="327">
        <v>0.5</v>
      </c>
      <c r="D11" s="330">
        <v>0.04</v>
      </c>
      <c r="E11" s="316">
        <v>0.5</v>
      </c>
      <c r="G11" s="295">
        <v>1920</v>
      </c>
      <c r="H11" s="298">
        <v>65</v>
      </c>
      <c r="I11" s="298">
        <v>0</v>
      </c>
      <c r="J11" s="291">
        <f aca="true" t="shared" si="0" ref="J11:J42">H11+(I11/12)</f>
        <v>65</v>
      </c>
      <c r="L11" s="263">
        <v>59</v>
      </c>
      <c r="M11" s="265">
        <v>12.648463</v>
      </c>
      <c r="N11" s="257">
        <v>13.65884</v>
      </c>
      <c r="P11" s="248"/>
      <c r="Q11" s="240">
        <f>ROUND($R$63*1.025*0.02,2)</f>
        <v>4.23</v>
      </c>
      <c r="R11" s="279">
        <f>Q11*2</f>
        <v>8.46</v>
      </c>
      <c r="S11" s="280" t="s">
        <v>26</v>
      </c>
      <c r="T11" s="281" t="s">
        <v>26</v>
      </c>
      <c r="U11" s="281" t="s">
        <v>26</v>
      </c>
      <c r="V11" s="247"/>
      <c r="W11" s="357" t="s">
        <v>779</v>
      </c>
      <c r="X11" s="213" t="s">
        <v>30</v>
      </c>
      <c r="Y11" s="224">
        <v>220</v>
      </c>
      <c r="Z11" s="232">
        <v>440</v>
      </c>
      <c r="AA11" s="232">
        <v>138</v>
      </c>
      <c r="AB11" s="226">
        <v>0.9</v>
      </c>
      <c r="AC11" s="364">
        <f aca="true" t="shared" si="1" ref="AC11:AC18">AC$10*AB11</f>
        <v>94.41000000000001</v>
      </c>
      <c r="AE11" s="221">
        <v>3</v>
      </c>
      <c r="AF11" s="203" t="s">
        <v>132</v>
      </c>
      <c r="AH11" s="16" t="s">
        <v>287</v>
      </c>
      <c r="AI11" s="5"/>
      <c r="AJ11" s="5"/>
      <c r="AK11" s="5"/>
      <c r="AL11" s="5"/>
      <c r="AM11" s="9"/>
      <c r="AO11" t="s">
        <v>306</v>
      </c>
      <c r="AP11" t="s">
        <v>307</v>
      </c>
    </row>
    <row r="12" spans="1:42" ht="12.75">
      <c r="A12" s="295">
        <v>0.76</v>
      </c>
      <c r="B12" s="285">
        <v>0.81</v>
      </c>
      <c r="C12" s="327">
        <v>1</v>
      </c>
      <c r="D12" s="330">
        <v>0.08</v>
      </c>
      <c r="E12" s="316">
        <v>1</v>
      </c>
      <c r="G12" s="295">
        <v>1921</v>
      </c>
      <c r="H12" s="298">
        <v>65</v>
      </c>
      <c r="I12" s="298">
        <v>0</v>
      </c>
      <c r="J12" s="291">
        <f t="shared" si="0"/>
        <v>65</v>
      </c>
      <c r="L12" s="238">
        <v>60</v>
      </c>
      <c r="M12" s="265">
        <v>12.9</v>
      </c>
      <c r="N12" s="257">
        <v>13.902128</v>
      </c>
      <c r="P12" s="238">
        <v>1</v>
      </c>
      <c r="Q12" s="241">
        <f aca="true" t="shared" si="2" ref="Q12:Q45">ROUND((Q13-$Q$11),2)</f>
        <v>67.65</v>
      </c>
      <c r="R12" s="240">
        <f>Q12*2</f>
        <v>135.3</v>
      </c>
      <c r="S12" s="249">
        <f>+'Update Tables'!Y$18</f>
        <v>90</v>
      </c>
      <c r="T12" s="250">
        <f aca="true" t="shared" si="3" ref="T12:U15">+Z$18</f>
        <v>110</v>
      </c>
      <c r="U12" s="250">
        <f t="shared" si="3"/>
        <v>35</v>
      </c>
      <c r="V12" s="251">
        <f>+'Update Tables'!AC$18</f>
        <v>20.980000000000004</v>
      </c>
      <c r="W12" s="30" t="s">
        <v>81</v>
      </c>
      <c r="X12" s="213" t="s">
        <v>31</v>
      </c>
      <c r="Y12" s="224">
        <v>200</v>
      </c>
      <c r="Z12" s="232">
        <v>385</v>
      </c>
      <c r="AA12" s="232">
        <v>121</v>
      </c>
      <c r="AB12" s="226">
        <v>0.8</v>
      </c>
      <c r="AC12" s="364">
        <f t="shared" si="1"/>
        <v>83.92000000000002</v>
      </c>
      <c r="AE12" s="221">
        <v>4</v>
      </c>
      <c r="AF12" s="203" t="s">
        <v>133</v>
      </c>
      <c r="AH12" s="16">
        <v>2015</v>
      </c>
      <c r="AI12" s="5" t="s">
        <v>288</v>
      </c>
      <c r="AJ12" s="5"/>
      <c r="AK12" s="5"/>
      <c r="AL12" s="5"/>
      <c r="AM12" s="9"/>
      <c r="AO12" t="s">
        <v>330</v>
      </c>
      <c r="AP12" t="s">
        <v>347</v>
      </c>
    </row>
    <row r="13" spans="1:42" ht="12.75">
      <c r="A13" s="295">
        <v>0.77</v>
      </c>
      <c r="B13" s="285">
        <v>0.81</v>
      </c>
      <c r="C13" s="327">
        <v>1.5</v>
      </c>
      <c r="D13" s="330">
        <v>0.13</v>
      </c>
      <c r="E13" s="316">
        <v>1.5</v>
      </c>
      <c r="G13" s="295">
        <v>1922</v>
      </c>
      <c r="H13" s="298">
        <v>65</v>
      </c>
      <c r="I13" s="298">
        <v>0</v>
      </c>
      <c r="J13" s="291">
        <f t="shared" si="0"/>
        <v>65</v>
      </c>
      <c r="L13" s="238">
        <v>61</v>
      </c>
      <c r="M13" s="265">
        <v>13.156567</v>
      </c>
      <c r="N13" s="257">
        <v>14.149749</v>
      </c>
      <c r="P13" s="238">
        <v>2</v>
      </c>
      <c r="Q13" s="241">
        <f t="shared" si="2"/>
        <v>71.88</v>
      </c>
      <c r="R13" s="240">
        <f aca="true" t="shared" si="4" ref="R13:R46">Q13*2</f>
        <v>143.76</v>
      </c>
      <c r="S13" s="252">
        <f>+'Update Tables'!Y$18</f>
        <v>90</v>
      </c>
      <c r="T13" s="253">
        <f t="shared" si="3"/>
        <v>110</v>
      </c>
      <c r="U13" s="253">
        <f t="shared" si="3"/>
        <v>35</v>
      </c>
      <c r="V13" s="251">
        <f>+'Update Tables'!AC$18</f>
        <v>20.980000000000004</v>
      </c>
      <c r="W13" s="30" t="s">
        <v>81</v>
      </c>
      <c r="X13" s="214" t="s">
        <v>32</v>
      </c>
      <c r="Y13" s="224">
        <v>175</v>
      </c>
      <c r="Z13" s="232">
        <v>330</v>
      </c>
      <c r="AA13" s="232">
        <v>104</v>
      </c>
      <c r="AB13" s="226">
        <v>0.7</v>
      </c>
      <c r="AC13" s="364">
        <f t="shared" si="1"/>
        <v>73.42999999999999</v>
      </c>
      <c r="AE13" s="221">
        <v>5</v>
      </c>
      <c r="AF13" s="203" t="s">
        <v>134</v>
      </c>
      <c r="AH13" s="16">
        <v>2015</v>
      </c>
      <c r="AI13" s="5" t="s">
        <v>289</v>
      </c>
      <c r="AJ13" s="5"/>
      <c r="AK13" s="5"/>
      <c r="AL13" s="5"/>
      <c r="AM13" s="9"/>
      <c r="AO13" t="s">
        <v>337</v>
      </c>
      <c r="AP13" t="s">
        <v>338</v>
      </c>
    </row>
    <row r="14" spans="1:42" ht="12.75">
      <c r="A14" s="295">
        <v>0.78</v>
      </c>
      <c r="B14" s="285">
        <v>0.82</v>
      </c>
      <c r="C14" s="327">
        <v>2</v>
      </c>
      <c r="D14" s="330">
        <v>0.17</v>
      </c>
      <c r="E14" s="316">
        <v>2</v>
      </c>
      <c r="G14" s="295">
        <v>1923</v>
      </c>
      <c r="H14" s="298">
        <v>65</v>
      </c>
      <c r="I14" s="298">
        <v>0</v>
      </c>
      <c r="J14" s="291">
        <f t="shared" si="0"/>
        <v>65</v>
      </c>
      <c r="L14" s="238">
        <v>62</v>
      </c>
      <c r="M14" s="265">
        <v>13.418223</v>
      </c>
      <c r="N14" s="257">
        <v>14.401779</v>
      </c>
      <c r="P14" s="238">
        <f aca="true" t="shared" si="5" ref="P14:P61">P13+1</f>
        <v>3</v>
      </c>
      <c r="Q14" s="241">
        <f t="shared" si="2"/>
        <v>76.11</v>
      </c>
      <c r="R14" s="240">
        <f t="shared" si="4"/>
        <v>152.22</v>
      </c>
      <c r="S14" s="252">
        <f>+'Update Tables'!Y$18</f>
        <v>90</v>
      </c>
      <c r="T14" s="253">
        <f t="shared" si="3"/>
        <v>110</v>
      </c>
      <c r="U14" s="253">
        <f t="shared" si="3"/>
        <v>35</v>
      </c>
      <c r="V14" s="251">
        <f>+'Update Tables'!AC$18</f>
        <v>20.980000000000004</v>
      </c>
      <c r="W14" s="30" t="s">
        <v>81</v>
      </c>
      <c r="X14" s="213" t="s">
        <v>33</v>
      </c>
      <c r="Y14" s="224">
        <v>155</v>
      </c>
      <c r="Z14" s="232">
        <v>275</v>
      </c>
      <c r="AA14" s="232">
        <v>86</v>
      </c>
      <c r="AB14" s="226">
        <v>0.6</v>
      </c>
      <c r="AC14" s="364">
        <f t="shared" si="1"/>
        <v>62.94</v>
      </c>
      <c r="AE14" s="221">
        <v>6</v>
      </c>
      <c r="AF14" s="203" t="s">
        <v>135</v>
      </c>
      <c r="AH14" s="16">
        <v>2015</v>
      </c>
      <c r="AI14" s="31" t="s">
        <v>391</v>
      </c>
      <c r="AJ14" s="5"/>
      <c r="AK14" s="5"/>
      <c r="AL14" s="5"/>
      <c r="AM14" s="9"/>
      <c r="AP14" t="s">
        <v>340</v>
      </c>
    </row>
    <row r="15" spans="1:42" ht="12.75">
      <c r="A15" s="295">
        <v>0.79</v>
      </c>
      <c r="B15" s="285">
        <v>0.83</v>
      </c>
      <c r="C15" s="327">
        <v>2.5</v>
      </c>
      <c r="D15" s="330">
        <v>0.21</v>
      </c>
      <c r="E15" s="316">
        <v>2.5</v>
      </c>
      <c r="G15" s="295">
        <v>1924</v>
      </c>
      <c r="H15" s="298">
        <v>65</v>
      </c>
      <c r="I15" s="298">
        <v>0</v>
      </c>
      <c r="J15" s="291">
        <f t="shared" si="0"/>
        <v>65</v>
      </c>
      <c r="L15" s="238">
        <v>63</v>
      </c>
      <c r="M15" s="265">
        <v>13.161338</v>
      </c>
      <c r="N15" s="257">
        <v>14.154419</v>
      </c>
      <c r="P15" s="238">
        <f t="shared" si="5"/>
        <v>4</v>
      </c>
      <c r="Q15" s="241">
        <f t="shared" si="2"/>
        <v>80.34</v>
      </c>
      <c r="R15" s="240">
        <f t="shared" si="4"/>
        <v>160.68</v>
      </c>
      <c r="S15" s="252">
        <f>+'Update Tables'!Y$18</f>
        <v>90</v>
      </c>
      <c r="T15" s="253">
        <f t="shared" si="3"/>
        <v>110</v>
      </c>
      <c r="U15" s="253">
        <f t="shared" si="3"/>
        <v>35</v>
      </c>
      <c r="V15" s="251">
        <f>+'Update Tables'!AC$18</f>
        <v>20.980000000000004</v>
      </c>
      <c r="W15" s="30" t="s">
        <v>81</v>
      </c>
      <c r="X15" s="213" t="s">
        <v>34</v>
      </c>
      <c r="Y15" s="224">
        <v>130</v>
      </c>
      <c r="Z15" s="232">
        <v>220</v>
      </c>
      <c r="AA15" s="232">
        <v>69</v>
      </c>
      <c r="AB15" s="226">
        <v>0.5</v>
      </c>
      <c r="AC15" s="364">
        <f t="shared" si="1"/>
        <v>52.45</v>
      </c>
      <c r="AE15" s="221">
        <v>7</v>
      </c>
      <c r="AF15" s="203" t="s">
        <v>136</v>
      </c>
      <c r="AH15" s="16">
        <v>2015</v>
      </c>
      <c r="AI15" s="5" t="s">
        <v>290</v>
      </c>
      <c r="AJ15" s="5"/>
      <c r="AK15" s="5"/>
      <c r="AL15" s="5"/>
      <c r="AM15" s="9"/>
      <c r="AO15" t="s">
        <v>330</v>
      </c>
      <c r="AP15" t="s">
        <v>105</v>
      </c>
    </row>
    <row r="16" spans="1:42" ht="12.75">
      <c r="A16" s="295">
        <v>0.8</v>
      </c>
      <c r="B16" s="285">
        <v>0.83</v>
      </c>
      <c r="C16" s="327">
        <v>3</v>
      </c>
      <c r="D16" s="330">
        <v>0.25</v>
      </c>
      <c r="E16" s="316">
        <v>3</v>
      </c>
      <c r="G16" s="295">
        <v>1925</v>
      </c>
      <c r="H16" s="298">
        <v>65</v>
      </c>
      <c r="I16" s="298">
        <v>0</v>
      </c>
      <c r="J16" s="291">
        <f t="shared" si="0"/>
        <v>65</v>
      </c>
      <c r="L16" s="238">
        <v>64</v>
      </c>
      <c r="M16" s="265">
        <v>12.896247</v>
      </c>
      <c r="N16" s="257">
        <v>13.899192</v>
      </c>
      <c r="P16" s="238">
        <f t="shared" si="5"/>
        <v>5</v>
      </c>
      <c r="Q16" s="241">
        <f t="shared" si="2"/>
        <v>84.57</v>
      </c>
      <c r="R16" s="240">
        <f t="shared" si="4"/>
        <v>169.14</v>
      </c>
      <c r="S16" s="252">
        <f>+'Update Tables'!Y$17</f>
        <v>90</v>
      </c>
      <c r="T16" s="253">
        <f aca="true" t="shared" si="6" ref="T16:U18">+Z$17</f>
        <v>110</v>
      </c>
      <c r="U16" s="253">
        <f t="shared" si="6"/>
        <v>35</v>
      </c>
      <c r="V16" s="251">
        <f>+'Update Tables'!AC$17</f>
        <v>31.47</v>
      </c>
      <c r="W16" s="30" t="s">
        <v>81</v>
      </c>
      <c r="X16" s="213" t="s">
        <v>791</v>
      </c>
      <c r="Y16" s="224">
        <v>110</v>
      </c>
      <c r="Z16" s="232">
        <v>170</v>
      </c>
      <c r="AA16" s="232">
        <v>52</v>
      </c>
      <c r="AB16" s="226">
        <v>0.4</v>
      </c>
      <c r="AC16" s="364">
        <f t="shared" si="1"/>
        <v>41.96000000000001</v>
      </c>
      <c r="AE16" s="221">
        <v>8</v>
      </c>
      <c r="AF16" s="203" t="s">
        <v>137</v>
      </c>
      <c r="AH16" s="16">
        <v>2015</v>
      </c>
      <c r="AI16" s="5" t="s">
        <v>291</v>
      </c>
      <c r="AJ16" s="5"/>
      <c r="AK16" s="5"/>
      <c r="AL16" s="5"/>
      <c r="AM16" s="9"/>
      <c r="AO16" t="s">
        <v>337</v>
      </c>
      <c r="AP16" t="s">
        <v>106</v>
      </c>
    </row>
    <row r="17" spans="1:42" ht="13.5" thickBot="1">
      <c r="A17" s="295">
        <v>0.81</v>
      </c>
      <c r="B17" s="285">
        <v>0.84</v>
      </c>
      <c r="C17" s="327">
        <v>3.5</v>
      </c>
      <c r="D17" s="330">
        <v>0.29</v>
      </c>
      <c r="E17" s="316">
        <v>3.5</v>
      </c>
      <c r="G17" s="295">
        <v>1926</v>
      </c>
      <c r="H17" s="298">
        <v>65</v>
      </c>
      <c r="I17" s="298">
        <v>0</v>
      </c>
      <c r="J17" s="291">
        <f t="shared" si="0"/>
        <v>65</v>
      </c>
      <c r="L17" s="238">
        <v>65</v>
      </c>
      <c r="M17" s="265">
        <v>12.623048</v>
      </c>
      <c r="N17" s="257">
        <v>13.636244</v>
      </c>
      <c r="P17" s="238">
        <f t="shared" si="5"/>
        <v>6</v>
      </c>
      <c r="Q17" s="241">
        <f t="shared" si="2"/>
        <v>88.8</v>
      </c>
      <c r="R17" s="240">
        <f t="shared" si="4"/>
        <v>177.6</v>
      </c>
      <c r="S17" s="252">
        <f>+'Update Tables'!Y$17</f>
        <v>90</v>
      </c>
      <c r="T17" s="253">
        <f t="shared" si="6"/>
        <v>110</v>
      </c>
      <c r="U17" s="253">
        <f t="shared" si="6"/>
        <v>35</v>
      </c>
      <c r="V17" s="251">
        <f>+'Update Tables'!AC$17</f>
        <v>31.47</v>
      </c>
      <c r="W17" s="30" t="s">
        <v>81</v>
      </c>
      <c r="X17" s="213" t="s">
        <v>790</v>
      </c>
      <c r="Y17" s="224">
        <v>90</v>
      </c>
      <c r="Z17" s="232">
        <v>110</v>
      </c>
      <c r="AA17" s="232">
        <v>35</v>
      </c>
      <c r="AB17" s="226">
        <v>0.3</v>
      </c>
      <c r="AC17" s="364">
        <f t="shared" si="1"/>
        <v>31.47</v>
      </c>
      <c r="AE17" s="221">
        <v>9</v>
      </c>
      <c r="AF17" s="203" t="s">
        <v>138</v>
      </c>
      <c r="AH17" s="21">
        <v>2015</v>
      </c>
      <c r="AI17" s="128" t="s">
        <v>398</v>
      </c>
      <c r="AJ17" s="8"/>
      <c r="AK17" s="8"/>
      <c r="AL17" s="8"/>
      <c r="AM17" s="32"/>
      <c r="AP17" t="s">
        <v>107</v>
      </c>
    </row>
    <row r="18" spans="1:42" ht="13.5" thickBot="1">
      <c r="A18" s="295">
        <v>0.82</v>
      </c>
      <c r="B18" s="285">
        <v>0.85</v>
      </c>
      <c r="C18" s="327">
        <v>4</v>
      </c>
      <c r="D18" s="330">
        <v>0.33</v>
      </c>
      <c r="E18" s="316">
        <v>4</v>
      </c>
      <c r="G18" s="295">
        <v>1927</v>
      </c>
      <c r="H18" s="298">
        <v>65</v>
      </c>
      <c r="I18" s="298">
        <v>0</v>
      </c>
      <c r="J18" s="291">
        <f t="shared" si="0"/>
        <v>65</v>
      </c>
      <c r="L18" s="238">
        <v>66</v>
      </c>
      <c r="M18" s="265">
        <v>12.342104</v>
      </c>
      <c r="N18" s="257">
        <v>13.365803</v>
      </c>
      <c r="P18" s="238">
        <f t="shared" si="5"/>
        <v>7</v>
      </c>
      <c r="Q18" s="241">
        <f t="shared" si="2"/>
        <v>93.03</v>
      </c>
      <c r="R18" s="240">
        <f t="shared" si="4"/>
        <v>186.06</v>
      </c>
      <c r="S18" s="252">
        <f>+'Update Tables'!Y$17</f>
        <v>90</v>
      </c>
      <c r="T18" s="253">
        <f t="shared" si="6"/>
        <v>110</v>
      </c>
      <c r="U18" s="253">
        <f t="shared" si="6"/>
        <v>35</v>
      </c>
      <c r="V18" s="251">
        <f>+'Update Tables'!AC$17</f>
        <v>31.47</v>
      </c>
      <c r="W18" s="30" t="s">
        <v>81</v>
      </c>
      <c r="X18" s="215" t="s">
        <v>35</v>
      </c>
      <c r="Y18" s="225">
        <v>90</v>
      </c>
      <c r="Z18" s="233">
        <v>110</v>
      </c>
      <c r="AA18" s="233">
        <v>35</v>
      </c>
      <c r="AB18" s="227">
        <v>0.2</v>
      </c>
      <c r="AC18" s="365">
        <f t="shared" si="1"/>
        <v>20.980000000000004</v>
      </c>
      <c r="AE18" s="221">
        <v>10</v>
      </c>
      <c r="AF18" s="203" t="s">
        <v>139</v>
      </c>
      <c r="AO18" t="s">
        <v>342</v>
      </c>
      <c r="AP18" t="s">
        <v>189</v>
      </c>
    </row>
    <row r="19" spans="1:42" ht="12.75">
      <c r="A19" s="295">
        <v>0.83</v>
      </c>
      <c r="B19" s="285">
        <v>0.85</v>
      </c>
      <c r="C19" s="327">
        <v>4.5</v>
      </c>
      <c r="D19" s="330">
        <v>0.38</v>
      </c>
      <c r="E19" s="316">
        <v>4.5</v>
      </c>
      <c r="G19" s="295">
        <v>1928</v>
      </c>
      <c r="H19" s="298">
        <v>65</v>
      </c>
      <c r="I19" s="298">
        <v>0</v>
      </c>
      <c r="J19" s="291">
        <f t="shared" si="0"/>
        <v>65</v>
      </c>
      <c r="L19" s="238">
        <v>67</v>
      </c>
      <c r="M19" s="265">
        <v>12.053996</v>
      </c>
      <c r="N19" s="257">
        <v>13.088153</v>
      </c>
      <c r="P19" s="238">
        <f t="shared" si="5"/>
        <v>8</v>
      </c>
      <c r="Q19" s="241">
        <f t="shared" si="2"/>
        <v>97.26</v>
      </c>
      <c r="R19" s="240">
        <f t="shared" si="4"/>
        <v>194.52</v>
      </c>
      <c r="S19" s="252">
        <f>+'Update Tables'!Y$16</f>
        <v>110</v>
      </c>
      <c r="T19" s="253">
        <f>+Z$16</f>
        <v>170</v>
      </c>
      <c r="U19" s="253">
        <f>+AA$16</f>
        <v>52</v>
      </c>
      <c r="V19" s="251">
        <f>+'Update Tables'!AC$16</f>
        <v>41.96000000000001</v>
      </c>
      <c r="W19" s="290" t="s">
        <v>80</v>
      </c>
      <c r="Y19" s="127"/>
      <c r="AE19" s="221">
        <v>11</v>
      </c>
      <c r="AF19" s="203" t="s">
        <v>140</v>
      </c>
      <c r="AH19" s="18" t="s">
        <v>426</v>
      </c>
      <c r="AI19" s="133"/>
      <c r="AJ19" s="24"/>
      <c r="AP19" t="s">
        <v>190</v>
      </c>
    </row>
    <row r="20" spans="1:36" ht="13.5" thickBot="1">
      <c r="A20" s="295">
        <v>0.84</v>
      </c>
      <c r="B20" s="285">
        <v>0.86</v>
      </c>
      <c r="C20" s="327">
        <v>5</v>
      </c>
      <c r="D20" s="330">
        <v>0.42</v>
      </c>
      <c r="E20" s="316">
        <v>5</v>
      </c>
      <c r="G20" s="294">
        <v>1929</v>
      </c>
      <c r="H20" s="298">
        <v>65</v>
      </c>
      <c r="I20" s="298">
        <v>0</v>
      </c>
      <c r="J20" s="291">
        <f t="shared" si="0"/>
        <v>65</v>
      </c>
      <c r="L20" s="238">
        <v>68</v>
      </c>
      <c r="M20" s="265">
        <v>11.759488</v>
      </c>
      <c r="N20" s="257">
        <v>12.803443</v>
      </c>
      <c r="P20" s="238">
        <f t="shared" si="5"/>
        <v>9</v>
      </c>
      <c r="Q20" s="241">
        <f t="shared" si="2"/>
        <v>101.49</v>
      </c>
      <c r="R20" s="240">
        <f t="shared" si="4"/>
        <v>202.98</v>
      </c>
      <c r="S20" s="252">
        <f>+'Update Tables'!Y$16</f>
        <v>110</v>
      </c>
      <c r="T20" s="253">
        <f>+Z$16</f>
        <v>170</v>
      </c>
      <c r="U20" s="253">
        <f>+AA$16</f>
        <v>52</v>
      </c>
      <c r="V20" s="251">
        <f>+'Update Tables'!AC$16</f>
        <v>41.96000000000001</v>
      </c>
      <c r="W20" s="290" t="s">
        <v>80</v>
      </c>
      <c r="AE20" s="222">
        <v>12</v>
      </c>
      <c r="AF20" s="219" t="s">
        <v>141</v>
      </c>
      <c r="AH20" s="16"/>
      <c r="AI20" s="6" t="s">
        <v>334</v>
      </c>
      <c r="AJ20" s="9"/>
    </row>
    <row r="21" spans="1:42" ht="12.75">
      <c r="A21" s="295">
        <v>0.85</v>
      </c>
      <c r="B21" s="285">
        <v>0.87</v>
      </c>
      <c r="C21" s="327">
        <v>5.5</v>
      </c>
      <c r="D21" s="330">
        <v>0.46</v>
      </c>
      <c r="E21" s="316">
        <v>5.5</v>
      </c>
      <c r="G21" s="294">
        <v>1930</v>
      </c>
      <c r="H21" s="298">
        <v>65</v>
      </c>
      <c r="I21" s="298">
        <v>0</v>
      </c>
      <c r="J21" s="291">
        <f t="shared" si="0"/>
        <v>65</v>
      </c>
      <c r="L21" s="238">
        <v>69</v>
      </c>
      <c r="M21" s="265">
        <v>11.459387</v>
      </c>
      <c r="N21" s="257">
        <v>12.51168</v>
      </c>
      <c r="P21" s="238">
        <f t="shared" si="5"/>
        <v>10</v>
      </c>
      <c r="Q21" s="241">
        <f t="shared" si="2"/>
        <v>105.72</v>
      </c>
      <c r="R21" s="240">
        <f t="shared" si="4"/>
        <v>211.44</v>
      </c>
      <c r="S21" s="252">
        <f>+'Update Tables'!Y$16</f>
        <v>110</v>
      </c>
      <c r="T21" s="253">
        <f aca="true" t="shared" si="7" ref="T21:U25">+Z$16</f>
        <v>170</v>
      </c>
      <c r="U21" s="253">
        <f t="shared" si="7"/>
        <v>52</v>
      </c>
      <c r="V21" s="251">
        <f>+'Update Tables'!AC$16</f>
        <v>41.96000000000001</v>
      </c>
      <c r="W21" s="290" t="s">
        <v>80</v>
      </c>
      <c r="X21" s="5"/>
      <c r="Y21" s="34"/>
      <c r="Z21" s="34"/>
      <c r="AA21" s="5"/>
      <c r="AB21" s="5"/>
      <c r="AH21" s="16"/>
      <c r="AI21" s="134" t="s">
        <v>427</v>
      </c>
      <c r="AJ21" s="9"/>
      <c r="AN21">
        <v>10.86</v>
      </c>
      <c r="AO21" t="s">
        <v>337</v>
      </c>
      <c r="AP21" t="s">
        <v>364</v>
      </c>
    </row>
    <row r="22" spans="1:42" ht="12.75">
      <c r="A22" s="295">
        <v>0.86</v>
      </c>
      <c r="B22" s="285">
        <v>0.87</v>
      </c>
      <c r="C22" s="327">
        <v>6</v>
      </c>
      <c r="D22" s="330">
        <v>0.5</v>
      </c>
      <c r="E22" s="316">
        <v>6</v>
      </c>
      <c r="G22" s="295">
        <v>1931</v>
      </c>
      <c r="H22" s="298">
        <v>65</v>
      </c>
      <c r="I22" s="298">
        <v>0</v>
      </c>
      <c r="J22" s="291">
        <f t="shared" si="0"/>
        <v>65</v>
      </c>
      <c r="L22" s="238">
        <v>70</v>
      </c>
      <c r="M22" s="265">
        <v>11.15451</v>
      </c>
      <c r="N22" s="257">
        <v>12.212689</v>
      </c>
      <c r="P22" s="238">
        <f t="shared" si="5"/>
        <v>11</v>
      </c>
      <c r="Q22" s="241">
        <f t="shared" si="2"/>
        <v>109.95</v>
      </c>
      <c r="R22" s="240">
        <f t="shared" si="4"/>
        <v>219.9</v>
      </c>
      <c r="S22" s="252">
        <f>+'Update Tables'!Y$16</f>
        <v>110</v>
      </c>
      <c r="T22" s="253">
        <f t="shared" si="7"/>
        <v>170</v>
      </c>
      <c r="U22" s="253">
        <f t="shared" si="7"/>
        <v>52</v>
      </c>
      <c r="V22" s="251">
        <f>+'Update Tables'!AC$16</f>
        <v>41.96000000000001</v>
      </c>
      <c r="W22" s="290" t="s">
        <v>80</v>
      </c>
      <c r="X22" s="5"/>
      <c r="Y22" s="6"/>
      <c r="Z22" s="5"/>
      <c r="AA22" s="5"/>
      <c r="AB22" s="5"/>
      <c r="AH22" s="16"/>
      <c r="AI22" s="5"/>
      <c r="AJ22" s="9"/>
      <c r="AP22" t="s">
        <v>366</v>
      </c>
    </row>
    <row r="23" spans="1:43" ht="12.75">
      <c r="A23" s="295">
        <v>0.87</v>
      </c>
      <c r="B23" s="285">
        <v>0.88</v>
      </c>
      <c r="C23" s="327">
        <v>6.5</v>
      </c>
      <c r="D23" s="330">
        <v>0.55</v>
      </c>
      <c r="E23" s="316">
        <v>6.5</v>
      </c>
      <c r="G23" s="295">
        <v>1932</v>
      </c>
      <c r="H23" s="298">
        <v>65</v>
      </c>
      <c r="I23" s="298">
        <v>0</v>
      </c>
      <c r="J23" s="291">
        <f t="shared" si="0"/>
        <v>65</v>
      </c>
      <c r="L23" s="238">
        <v>71</v>
      </c>
      <c r="M23" s="265">
        <v>10.845657</v>
      </c>
      <c r="N23" s="257">
        <v>11.906136</v>
      </c>
      <c r="P23" s="238">
        <f t="shared" si="5"/>
        <v>12</v>
      </c>
      <c r="Q23" s="241">
        <f t="shared" si="2"/>
        <v>114.18</v>
      </c>
      <c r="R23" s="240">
        <f t="shared" si="4"/>
        <v>228.36</v>
      </c>
      <c r="S23" s="252">
        <f>+'Update Tables'!Y$16</f>
        <v>110</v>
      </c>
      <c r="T23" s="253">
        <f t="shared" si="7"/>
        <v>170</v>
      </c>
      <c r="U23" s="253">
        <f t="shared" si="7"/>
        <v>52</v>
      </c>
      <c r="V23" s="251">
        <f>+'Update Tables'!AC$16</f>
        <v>41.96000000000001</v>
      </c>
      <c r="W23" s="290" t="s">
        <v>80</v>
      </c>
      <c r="X23" s="5"/>
      <c r="Y23" s="6"/>
      <c r="Z23" s="5"/>
      <c r="AA23" s="5"/>
      <c r="AB23" s="5"/>
      <c r="AH23" s="16"/>
      <c r="AI23" s="5" t="s">
        <v>428</v>
      </c>
      <c r="AJ23" s="9"/>
      <c r="AQ23" t="s">
        <v>365</v>
      </c>
    </row>
    <row r="24" spans="1:43" ht="12.75">
      <c r="A24" s="295">
        <v>0.88</v>
      </c>
      <c r="B24" s="285">
        <v>0.89</v>
      </c>
      <c r="C24" s="327">
        <v>7</v>
      </c>
      <c r="D24" s="330">
        <v>0.59</v>
      </c>
      <c r="E24" s="316">
        <v>7</v>
      </c>
      <c r="G24" s="295">
        <v>1933</v>
      </c>
      <c r="H24" s="298">
        <v>65</v>
      </c>
      <c r="I24" s="298">
        <v>0</v>
      </c>
      <c r="J24" s="291">
        <f t="shared" si="0"/>
        <v>65</v>
      </c>
      <c r="L24" s="238">
        <v>72</v>
      </c>
      <c r="M24" s="265">
        <v>10.533617</v>
      </c>
      <c r="N24" s="257">
        <v>11.591617</v>
      </c>
      <c r="P24" s="238">
        <f t="shared" si="5"/>
        <v>13</v>
      </c>
      <c r="Q24" s="241">
        <f t="shared" si="2"/>
        <v>118.41</v>
      </c>
      <c r="R24" s="240">
        <f t="shared" si="4"/>
        <v>236.82</v>
      </c>
      <c r="S24" s="252">
        <f>+'Update Tables'!Y$16</f>
        <v>110</v>
      </c>
      <c r="T24" s="253">
        <f t="shared" si="7"/>
        <v>170</v>
      </c>
      <c r="U24" s="253">
        <f t="shared" si="7"/>
        <v>52</v>
      </c>
      <c r="V24" s="251">
        <f>+'Update Tables'!AC$16</f>
        <v>41.96000000000001</v>
      </c>
      <c r="W24" s="290" t="s">
        <v>80</v>
      </c>
      <c r="X24" s="5"/>
      <c r="Y24" s="6"/>
      <c r="Z24" s="5"/>
      <c r="AA24" s="5"/>
      <c r="AB24" s="5"/>
      <c r="AH24" s="16"/>
      <c r="AI24" s="5" t="s">
        <v>429</v>
      </c>
      <c r="AJ24" s="9"/>
      <c r="AQ24" t="s">
        <v>367</v>
      </c>
    </row>
    <row r="25" spans="1:43" ht="13.5" thickBot="1">
      <c r="A25" s="295">
        <v>0.89</v>
      </c>
      <c r="B25" s="285">
        <v>0.89</v>
      </c>
      <c r="C25" s="327">
        <v>7.5</v>
      </c>
      <c r="D25" s="330">
        <v>0.64</v>
      </c>
      <c r="E25" s="316">
        <v>7.5</v>
      </c>
      <c r="G25" s="295">
        <v>1934</v>
      </c>
      <c r="H25" s="298">
        <v>65</v>
      </c>
      <c r="I25" s="298">
        <v>0</v>
      </c>
      <c r="J25" s="291">
        <f t="shared" si="0"/>
        <v>65</v>
      </c>
      <c r="L25" s="238">
        <v>73</v>
      </c>
      <c r="M25" s="265">
        <v>10.219152</v>
      </c>
      <c r="N25" s="257">
        <v>11.269046</v>
      </c>
      <c r="P25" s="238">
        <f t="shared" si="5"/>
        <v>14</v>
      </c>
      <c r="Q25" s="241">
        <f t="shared" si="2"/>
        <v>122.64</v>
      </c>
      <c r="R25" s="240">
        <f t="shared" si="4"/>
        <v>245.28</v>
      </c>
      <c r="S25" s="252">
        <f>+'Update Tables'!Y$16</f>
        <v>110</v>
      </c>
      <c r="T25" s="253">
        <f t="shared" si="7"/>
        <v>170</v>
      </c>
      <c r="U25" s="253">
        <f t="shared" si="7"/>
        <v>52</v>
      </c>
      <c r="V25" s="251">
        <f>+'Update Tables'!AC$16</f>
        <v>41.96000000000001</v>
      </c>
      <c r="W25" s="290" t="s">
        <v>80</v>
      </c>
      <c r="X25" s="5"/>
      <c r="Y25" s="6"/>
      <c r="Z25" s="5"/>
      <c r="AA25" s="5"/>
      <c r="AB25" s="5"/>
      <c r="AH25" s="21"/>
      <c r="AI25" s="8" t="s">
        <v>162</v>
      </c>
      <c r="AJ25" s="32"/>
      <c r="AQ25" t="s">
        <v>368</v>
      </c>
    </row>
    <row r="26" spans="1:43" ht="13.5" thickBot="1">
      <c r="A26" s="295">
        <v>0.9</v>
      </c>
      <c r="B26" s="285">
        <v>0.9</v>
      </c>
      <c r="C26" s="327">
        <v>8</v>
      </c>
      <c r="D26" s="330">
        <v>0.68</v>
      </c>
      <c r="E26" s="316">
        <v>8</v>
      </c>
      <c r="G26" s="295">
        <v>1935</v>
      </c>
      <c r="H26" s="298">
        <v>65</v>
      </c>
      <c r="I26" s="298">
        <v>0</v>
      </c>
      <c r="J26" s="291">
        <f t="shared" si="0"/>
        <v>65</v>
      </c>
      <c r="L26" s="238">
        <v>74</v>
      </c>
      <c r="M26" s="265">
        <v>9.902958</v>
      </c>
      <c r="N26" s="257">
        <v>10.938727</v>
      </c>
      <c r="P26" s="238">
        <f t="shared" si="5"/>
        <v>15</v>
      </c>
      <c r="Q26" s="241">
        <f t="shared" si="2"/>
        <v>126.87</v>
      </c>
      <c r="R26" s="240">
        <f t="shared" si="4"/>
        <v>253.74</v>
      </c>
      <c r="S26" s="252">
        <f>+'Update Tables'!Y$15</f>
        <v>130</v>
      </c>
      <c r="T26" s="253">
        <f aca="true" t="shared" si="8" ref="T26:U30">+Z$15</f>
        <v>220</v>
      </c>
      <c r="U26" s="253">
        <f t="shared" si="8"/>
        <v>69</v>
      </c>
      <c r="V26" s="251">
        <f>+'Update Tables'!AC$15</f>
        <v>52.45</v>
      </c>
      <c r="W26" s="290" t="s">
        <v>79</v>
      </c>
      <c r="AB26" s="533" t="e">
        <f>#REF!</f>
        <v>#REF!</v>
      </c>
      <c r="AC26" s="535"/>
      <c r="AD26" s="127"/>
      <c r="AQ26" t="s">
        <v>369</v>
      </c>
    </row>
    <row r="27" spans="1:43" ht="13.5" thickBot="1">
      <c r="A27" s="295">
        <v>0.91</v>
      </c>
      <c r="B27" s="285">
        <v>0.91</v>
      </c>
      <c r="C27" s="327">
        <v>8.5</v>
      </c>
      <c r="D27" s="330">
        <v>0.73</v>
      </c>
      <c r="E27" s="316">
        <v>8.5</v>
      </c>
      <c r="G27" s="295">
        <v>1936</v>
      </c>
      <c r="H27" s="298">
        <v>65</v>
      </c>
      <c r="I27" s="298">
        <v>0</v>
      </c>
      <c r="J27" s="291">
        <f t="shared" si="0"/>
        <v>65</v>
      </c>
      <c r="L27" s="238">
        <v>75</v>
      </c>
      <c r="M27" s="265">
        <v>9.585673</v>
      </c>
      <c r="N27" s="257">
        <v>10.601304</v>
      </c>
      <c r="P27" s="238">
        <f t="shared" si="5"/>
        <v>16</v>
      </c>
      <c r="Q27" s="241">
        <f t="shared" si="2"/>
        <v>131.1</v>
      </c>
      <c r="R27" s="240">
        <f t="shared" si="4"/>
        <v>262.2</v>
      </c>
      <c r="S27" s="252">
        <f>+'Update Tables'!Y$15</f>
        <v>130</v>
      </c>
      <c r="T27" s="253">
        <f t="shared" si="8"/>
        <v>220</v>
      </c>
      <c r="U27" s="253">
        <f t="shared" si="8"/>
        <v>69</v>
      </c>
      <c r="V27" s="251">
        <f>+'Update Tables'!AC$15</f>
        <v>52.45</v>
      </c>
      <c r="W27" s="290" t="s">
        <v>79</v>
      </c>
      <c r="AB27" s="228" t="s">
        <v>82</v>
      </c>
      <c r="AC27" s="229" t="s">
        <v>358</v>
      </c>
      <c r="AQ27" t="s">
        <v>370</v>
      </c>
    </row>
    <row r="28" spans="1:43" ht="13.5" thickBot="1">
      <c r="A28" s="295">
        <v>0.92</v>
      </c>
      <c r="B28" s="285">
        <v>0.91</v>
      </c>
      <c r="C28" s="327">
        <v>9</v>
      </c>
      <c r="D28" s="331">
        <v>0.77</v>
      </c>
      <c r="E28" s="316">
        <v>9</v>
      </c>
      <c r="G28" s="295">
        <v>1937</v>
      </c>
      <c r="H28" s="298">
        <v>65</v>
      </c>
      <c r="I28" s="298">
        <v>0</v>
      </c>
      <c r="J28" s="291">
        <f t="shared" si="0"/>
        <v>65</v>
      </c>
      <c r="L28" s="238">
        <v>76</v>
      </c>
      <c r="M28" s="265">
        <v>9.267869</v>
      </c>
      <c r="N28" s="257">
        <v>10.25773</v>
      </c>
      <c r="P28" s="238">
        <f t="shared" si="5"/>
        <v>17</v>
      </c>
      <c r="Q28" s="241">
        <f t="shared" si="2"/>
        <v>135.33</v>
      </c>
      <c r="R28" s="240">
        <f t="shared" si="4"/>
        <v>270.66</v>
      </c>
      <c r="S28" s="252">
        <f>+'Update Tables'!Y$15</f>
        <v>130</v>
      </c>
      <c r="T28" s="253">
        <f t="shared" si="8"/>
        <v>220</v>
      </c>
      <c r="U28" s="253">
        <f t="shared" si="8"/>
        <v>69</v>
      </c>
      <c r="V28" s="251">
        <f>+'Update Tables'!AC$15</f>
        <v>52.45</v>
      </c>
      <c r="W28" s="290" t="s">
        <v>79</v>
      </c>
      <c r="X28" s="115" t="s">
        <v>301</v>
      </c>
      <c r="Y28" s="117"/>
      <c r="Z28" s="199"/>
      <c r="AB28" s="294" t="s">
        <v>278</v>
      </c>
      <c r="AC28" s="361">
        <v>35</v>
      </c>
      <c r="AQ28" t="s">
        <v>371</v>
      </c>
    </row>
    <row r="29" spans="1:43" ht="13.5" thickBot="1">
      <c r="A29" s="295">
        <v>0.93</v>
      </c>
      <c r="B29" s="285">
        <v>0.92</v>
      </c>
      <c r="C29" s="327">
        <v>9.5</v>
      </c>
      <c r="D29" s="330">
        <v>0.82</v>
      </c>
      <c r="E29" s="316">
        <v>9.5</v>
      </c>
      <c r="G29" s="295">
        <v>1938</v>
      </c>
      <c r="H29" s="298">
        <v>65</v>
      </c>
      <c r="I29" s="298">
        <v>2</v>
      </c>
      <c r="J29" s="291">
        <f t="shared" si="0"/>
        <v>65.16666666666667</v>
      </c>
      <c r="L29" s="239">
        <v>77</v>
      </c>
      <c r="M29" s="266">
        <v>8.950029</v>
      </c>
      <c r="N29" s="258">
        <v>9.909206</v>
      </c>
      <c r="P29" s="238">
        <f t="shared" si="5"/>
        <v>18</v>
      </c>
      <c r="Q29" s="241">
        <f t="shared" si="2"/>
        <v>139.56</v>
      </c>
      <c r="R29" s="240">
        <f t="shared" si="4"/>
        <v>279.12</v>
      </c>
      <c r="S29" s="252">
        <f>+'Update Tables'!Y$15</f>
        <v>130</v>
      </c>
      <c r="T29" s="253">
        <f t="shared" si="8"/>
        <v>220</v>
      </c>
      <c r="U29" s="253">
        <f t="shared" si="8"/>
        <v>69</v>
      </c>
      <c r="V29" s="251">
        <f>+'Update Tables'!AC$15</f>
        <v>52.45</v>
      </c>
      <c r="W29" s="290" t="s">
        <v>79</v>
      </c>
      <c r="X29" s="216"/>
      <c r="Y29" s="216"/>
      <c r="Z29" s="217"/>
      <c r="AB29" s="294" t="s">
        <v>279</v>
      </c>
      <c r="AC29" s="361">
        <v>65</v>
      </c>
      <c r="AQ29" t="s">
        <v>372</v>
      </c>
    </row>
    <row r="30" spans="1:43" ht="13.5" thickBot="1">
      <c r="A30" s="295">
        <v>0.94</v>
      </c>
      <c r="B30" s="285">
        <v>0.93</v>
      </c>
      <c r="C30" s="327">
        <v>10</v>
      </c>
      <c r="D30" s="330">
        <v>0.86</v>
      </c>
      <c r="E30" s="316">
        <v>10</v>
      </c>
      <c r="G30" s="295">
        <v>1939</v>
      </c>
      <c r="H30" s="298">
        <v>65</v>
      </c>
      <c r="I30" s="298">
        <v>4</v>
      </c>
      <c r="J30" s="291">
        <f t="shared" si="0"/>
        <v>65.33333333333333</v>
      </c>
      <c r="P30" s="238">
        <f t="shared" si="5"/>
        <v>19</v>
      </c>
      <c r="Q30" s="241">
        <f t="shared" si="2"/>
        <v>143.79</v>
      </c>
      <c r="R30" s="240">
        <f t="shared" si="4"/>
        <v>287.58</v>
      </c>
      <c r="S30" s="252">
        <f>+'Update Tables'!Y$15</f>
        <v>130</v>
      </c>
      <c r="T30" s="253">
        <f t="shared" si="8"/>
        <v>220</v>
      </c>
      <c r="U30" s="253">
        <f t="shared" si="8"/>
        <v>69</v>
      </c>
      <c r="V30" s="251">
        <f>+'Update Tables'!AC$15</f>
        <v>52.45</v>
      </c>
      <c r="W30" s="290" t="s">
        <v>79</v>
      </c>
      <c r="X30" s="206" t="s">
        <v>302</v>
      </c>
      <c r="Y30" s="237" t="s">
        <v>303</v>
      </c>
      <c r="Z30" s="207" t="s">
        <v>304</v>
      </c>
      <c r="AA30" s="204" t="s">
        <v>108</v>
      </c>
      <c r="AB30" s="294" t="s">
        <v>280</v>
      </c>
      <c r="AC30" s="361">
        <v>120</v>
      </c>
      <c r="AE30" s="544"/>
      <c r="AF30" s="544"/>
      <c r="AQ30" t="s">
        <v>373</v>
      </c>
    </row>
    <row r="31" spans="1:43" ht="13.5" thickBot="1">
      <c r="A31" s="295">
        <v>0.95</v>
      </c>
      <c r="B31" s="285">
        <v>0.93</v>
      </c>
      <c r="C31" s="327">
        <v>10.5</v>
      </c>
      <c r="D31" s="330">
        <v>0.91</v>
      </c>
      <c r="E31" s="316">
        <v>10.5</v>
      </c>
      <c r="G31" s="295">
        <v>1940</v>
      </c>
      <c r="H31" s="298">
        <v>65</v>
      </c>
      <c r="I31" s="298">
        <v>6</v>
      </c>
      <c r="J31" s="291">
        <f t="shared" si="0"/>
        <v>65.5</v>
      </c>
      <c r="P31" s="238">
        <f t="shared" si="5"/>
        <v>20</v>
      </c>
      <c r="Q31" s="241">
        <f t="shared" si="2"/>
        <v>148.02</v>
      </c>
      <c r="R31" s="240">
        <f t="shared" si="4"/>
        <v>296.04</v>
      </c>
      <c r="S31" s="252">
        <f>+'Update Tables'!Y$14</f>
        <v>155</v>
      </c>
      <c r="T31" s="253">
        <f aca="true" t="shared" si="9" ref="T31:U35">+Z$14</f>
        <v>275</v>
      </c>
      <c r="U31" s="253">
        <f t="shared" si="9"/>
        <v>86</v>
      </c>
      <c r="V31" s="251">
        <f>+'Update Tables'!AC$14</f>
        <v>62.94</v>
      </c>
      <c r="W31" s="290" t="s">
        <v>78</v>
      </c>
      <c r="X31" s="15">
        <v>1</v>
      </c>
      <c r="Y31" s="234">
        <v>0.025</v>
      </c>
      <c r="Z31" s="230">
        <v>0.175</v>
      </c>
      <c r="AA31" s="366">
        <v>0.2</v>
      </c>
      <c r="AB31" s="294" t="s">
        <v>281</v>
      </c>
      <c r="AC31" s="361">
        <v>145</v>
      </c>
      <c r="AE31" s="30"/>
      <c r="AF31" s="394"/>
      <c r="AQ31" t="s">
        <v>374</v>
      </c>
    </row>
    <row r="32" spans="1:32" ht="13.5" thickBot="1">
      <c r="A32" s="295">
        <v>0.96</v>
      </c>
      <c r="B32" s="285">
        <v>0.94</v>
      </c>
      <c r="C32" s="327">
        <v>11</v>
      </c>
      <c r="D32" s="330">
        <v>0.95</v>
      </c>
      <c r="E32" s="316">
        <v>11</v>
      </c>
      <c r="G32" s="295">
        <v>1941</v>
      </c>
      <c r="H32" s="298">
        <v>65</v>
      </c>
      <c r="I32" s="298">
        <v>8</v>
      </c>
      <c r="J32" s="291">
        <f t="shared" si="0"/>
        <v>65.66666666666667</v>
      </c>
      <c r="L32" s="533" t="s">
        <v>277</v>
      </c>
      <c r="M32" s="534"/>
      <c r="N32" s="534"/>
      <c r="O32" s="535"/>
      <c r="P32" s="238">
        <f t="shared" si="5"/>
        <v>21</v>
      </c>
      <c r="Q32" s="241">
        <f t="shared" si="2"/>
        <v>152.25</v>
      </c>
      <c r="R32" s="240">
        <f t="shared" si="4"/>
        <v>304.5</v>
      </c>
      <c r="S32" s="252">
        <f>+'Update Tables'!Y$14</f>
        <v>155</v>
      </c>
      <c r="T32" s="253">
        <f t="shared" si="9"/>
        <v>275</v>
      </c>
      <c r="U32" s="253">
        <f t="shared" si="9"/>
        <v>86</v>
      </c>
      <c r="V32" s="251">
        <f>+'Update Tables'!AC$14</f>
        <v>62.94</v>
      </c>
      <c r="W32" s="290" t="s">
        <v>78</v>
      </c>
      <c r="X32" s="15">
        <v>2</v>
      </c>
      <c r="Y32" s="234">
        <v>0.025</v>
      </c>
      <c r="Z32" s="230">
        <v>0.175</v>
      </c>
      <c r="AA32" s="366">
        <v>0.2</v>
      </c>
      <c r="AB32" s="294" t="s">
        <v>282</v>
      </c>
      <c r="AC32" s="361">
        <v>440</v>
      </c>
      <c r="AE32" s="30"/>
      <c r="AF32" s="394"/>
    </row>
    <row r="33" spans="1:46" ht="13.5" thickBot="1">
      <c r="A33" s="295">
        <v>0.97</v>
      </c>
      <c r="B33" s="285">
        <v>0.95</v>
      </c>
      <c r="C33" s="327">
        <v>11.5</v>
      </c>
      <c r="D33" s="330">
        <v>1</v>
      </c>
      <c r="E33" s="316">
        <v>11.5</v>
      </c>
      <c r="G33" s="295">
        <v>1942</v>
      </c>
      <c r="H33" s="298">
        <v>65</v>
      </c>
      <c r="I33" s="298">
        <v>10</v>
      </c>
      <c r="J33" s="291">
        <f t="shared" si="0"/>
        <v>65.83333333333333</v>
      </c>
      <c r="L33" s="272" t="s">
        <v>25</v>
      </c>
      <c r="M33" s="273" t="s">
        <v>12</v>
      </c>
      <c r="N33" s="273" t="s">
        <v>13</v>
      </c>
      <c r="O33" s="271" t="s">
        <v>284</v>
      </c>
      <c r="P33" s="238">
        <f t="shared" si="5"/>
        <v>22</v>
      </c>
      <c r="Q33" s="241">
        <f t="shared" si="2"/>
        <v>156.48</v>
      </c>
      <c r="R33" s="240">
        <f t="shared" si="4"/>
        <v>312.96</v>
      </c>
      <c r="S33" s="252">
        <f>+'Update Tables'!Y$14</f>
        <v>155</v>
      </c>
      <c r="T33" s="253">
        <f t="shared" si="9"/>
        <v>275</v>
      </c>
      <c r="U33" s="253">
        <f t="shared" si="9"/>
        <v>86</v>
      </c>
      <c r="V33" s="251">
        <f>+'Update Tables'!AC$14</f>
        <v>62.94</v>
      </c>
      <c r="W33" s="290" t="s">
        <v>78</v>
      </c>
      <c r="X33" s="15">
        <v>3</v>
      </c>
      <c r="Y33" s="234">
        <v>0.05</v>
      </c>
      <c r="Z33" s="235">
        <f>+Z32+2.5%</f>
        <v>0.19999999999999998</v>
      </c>
      <c r="AA33" s="366">
        <v>0.2</v>
      </c>
      <c r="AB33" s="360" t="s">
        <v>283</v>
      </c>
      <c r="AC33" s="362">
        <v>138</v>
      </c>
      <c r="AE33" s="30"/>
      <c r="AF33" s="394"/>
      <c r="AN33">
        <v>10.87</v>
      </c>
      <c r="AO33" t="s">
        <v>337</v>
      </c>
      <c r="AP33" t="s">
        <v>350</v>
      </c>
      <c r="AT33" t="s">
        <v>351</v>
      </c>
    </row>
    <row r="34" spans="1:42" ht="13.5" thickBot="1">
      <c r="A34" s="295">
        <v>0.98</v>
      </c>
      <c r="B34" s="285">
        <v>0.95</v>
      </c>
      <c r="C34" s="328">
        <v>12</v>
      </c>
      <c r="D34" s="332">
        <v>1</v>
      </c>
      <c r="E34" s="316">
        <v>12</v>
      </c>
      <c r="G34" s="295">
        <v>1943</v>
      </c>
      <c r="H34" s="298">
        <v>66</v>
      </c>
      <c r="I34" s="298">
        <v>0</v>
      </c>
      <c r="J34" s="291">
        <f t="shared" si="0"/>
        <v>66</v>
      </c>
      <c r="L34" s="221">
        <v>1980</v>
      </c>
      <c r="M34" s="274">
        <v>1030</v>
      </c>
      <c r="N34" s="275">
        <v>1030</v>
      </c>
      <c r="O34" s="286"/>
      <c r="P34" s="238">
        <f t="shared" si="5"/>
        <v>23</v>
      </c>
      <c r="Q34" s="241">
        <f t="shared" si="2"/>
        <v>160.71</v>
      </c>
      <c r="R34" s="240">
        <f t="shared" si="4"/>
        <v>321.42</v>
      </c>
      <c r="S34" s="252">
        <f>+'Update Tables'!Y$14</f>
        <v>155</v>
      </c>
      <c r="T34" s="253">
        <f t="shared" si="9"/>
        <v>275</v>
      </c>
      <c r="U34" s="253">
        <f t="shared" si="9"/>
        <v>86</v>
      </c>
      <c r="V34" s="251">
        <f>+'Update Tables'!AC$14</f>
        <v>62.94</v>
      </c>
      <c r="W34" s="290" t="s">
        <v>78</v>
      </c>
      <c r="X34" s="15">
        <f>+X33+1</f>
        <v>4</v>
      </c>
      <c r="Y34" s="234">
        <v>0.05</v>
      </c>
      <c r="Z34" s="230">
        <v>0.2</v>
      </c>
      <c r="AA34" s="366">
        <v>0.2</v>
      </c>
      <c r="AE34" s="30"/>
      <c r="AF34" s="394"/>
      <c r="AP34" t="s">
        <v>352</v>
      </c>
    </row>
    <row r="35" spans="1:42" ht="13.5" thickBot="1">
      <c r="A35" s="295">
        <v>0.99</v>
      </c>
      <c r="B35" s="285">
        <v>0.96</v>
      </c>
      <c r="C35" s="218" t="s">
        <v>379</v>
      </c>
      <c r="D35" s="137" t="s">
        <v>302</v>
      </c>
      <c r="E35" s="218" t="s">
        <v>775</v>
      </c>
      <c r="F35" s="137" t="s">
        <v>302</v>
      </c>
      <c r="G35" s="295">
        <v>1944</v>
      </c>
      <c r="H35" s="298">
        <v>66</v>
      </c>
      <c r="I35" s="298">
        <v>0</v>
      </c>
      <c r="J35" s="291">
        <f t="shared" si="0"/>
        <v>66</v>
      </c>
      <c r="L35" s="221">
        <v>1981</v>
      </c>
      <c r="M35" s="274">
        <v>1130</v>
      </c>
      <c r="N35" s="275">
        <v>1130</v>
      </c>
      <c r="O35" s="286"/>
      <c r="P35" s="238">
        <f t="shared" si="5"/>
        <v>24</v>
      </c>
      <c r="Q35" s="241">
        <f t="shared" si="2"/>
        <v>164.94</v>
      </c>
      <c r="R35" s="240">
        <f t="shared" si="4"/>
        <v>329.88</v>
      </c>
      <c r="S35" s="252">
        <f>+'Update Tables'!Y$14</f>
        <v>155</v>
      </c>
      <c r="T35" s="253">
        <f t="shared" si="9"/>
        <v>275</v>
      </c>
      <c r="U35" s="253">
        <f t="shared" si="9"/>
        <v>86</v>
      </c>
      <c r="V35" s="251">
        <f>+'Update Tables'!AC$14</f>
        <v>62.94</v>
      </c>
      <c r="W35" s="290" t="s">
        <v>78</v>
      </c>
      <c r="X35" s="15">
        <f>+X34+1</f>
        <v>5</v>
      </c>
      <c r="Y35" s="234">
        <v>0.075</v>
      </c>
      <c r="Z35" s="230">
        <f aca="true" t="shared" si="10" ref="Z35:Z65">+Z34+2.5%</f>
        <v>0.225</v>
      </c>
      <c r="AA35" s="366">
        <v>0.3</v>
      </c>
      <c r="AE35" s="30"/>
      <c r="AF35" s="394"/>
      <c r="AP35" t="s">
        <v>353</v>
      </c>
    </row>
    <row r="36" spans="1:42" ht="12.75">
      <c r="A36" s="295">
        <v>1</v>
      </c>
      <c r="B36" s="285">
        <v>0.97</v>
      </c>
      <c r="C36" s="313">
        <v>0</v>
      </c>
      <c r="D36" s="316">
        <v>0</v>
      </c>
      <c r="E36" s="313">
        <v>0</v>
      </c>
      <c r="F36" s="318">
        <v>0</v>
      </c>
      <c r="G36" s="295">
        <v>1945</v>
      </c>
      <c r="H36" s="298">
        <v>66</v>
      </c>
      <c r="I36" s="298">
        <v>0</v>
      </c>
      <c r="J36" s="291">
        <f t="shared" si="0"/>
        <v>66</v>
      </c>
      <c r="L36" s="221">
        <v>1982</v>
      </c>
      <c r="M36" s="275">
        <v>1130</v>
      </c>
      <c r="N36" s="275">
        <v>1130</v>
      </c>
      <c r="O36" s="286"/>
      <c r="P36" s="238">
        <f t="shared" si="5"/>
        <v>25</v>
      </c>
      <c r="Q36" s="241">
        <f t="shared" si="2"/>
        <v>169.17</v>
      </c>
      <c r="R36" s="240">
        <f t="shared" si="4"/>
        <v>338.34</v>
      </c>
      <c r="S36" s="252">
        <f>+'Update Tables'!Y$13</f>
        <v>175</v>
      </c>
      <c r="T36" s="253">
        <f aca="true" t="shared" si="11" ref="T36:U40">+Z$13</f>
        <v>330</v>
      </c>
      <c r="U36" s="253">
        <f t="shared" si="11"/>
        <v>104</v>
      </c>
      <c r="V36" s="251">
        <f>+'Update Tables'!AC$13</f>
        <v>73.42999999999999</v>
      </c>
      <c r="W36" s="290" t="s">
        <v>77</v>
      </c>
      <c r="X36" s="15">
        <f aca="true" t="shared" si="12" ref="X36:X75">+X35+1</f>
        <v>6</v>
      </c>
      <c r="Y36" s="234">
        <v>0.1</v>
      </c>
      <c r="Z36" s="230">
        <f t="shared" si="10"/>
        <v>0.25</v>
      </c>
      <c r="AA36" s="366">
        <v>0.3</v>
      </c>
      <c r="AE36" s="30"/>
      <c r="AF36" s="394"/>
      <c r="AP36" t="s">
        <v>354</v>
      </c>
    </row>
    <row r="37" spans="1:42" ht="12.75">
      <c r="A37" s="295">
        <v>1.01</v>
      </c>
      <c r="B37" s="285">
        <v>0.97</v>
      </c>
      <c r="C37" s="314">
        <v>10</v>
      </c>
      <c r="D37" s="316">
        <f>D36+0.01</f>
        <v>0.01</v>
      </c>
      <c r="E37" s="314">
        <v>9</v>
      </c>
      <c r="F37" s="318">
        <v>0.01</v>
      </c>
      <c r="G37" s="295">
        <v>1946</v>
      </c>
      <c r="H37" s="298">
        <v>66</v>
      </c>
      <c r="I37" s="298">
        <v>0</v>
      </c>
      <c r="J37" s="291">
        <f t="shared" si="0"/>
        <v>66</v>
      </c>
      <c r="L37" s="221">
        <v>1983</v>
      </c>
      <c r="M37" s="275">
        <v>1200</v>
      </c>
      <c r="N37" s="275">
        <v>1230</v>
      </c>
      <c r="O37" s="286"/>
      <c r="P37" s="238">
        <f t="shared" si="5"/>
        <v>26</v>
      </c>
      <c r="Q37" s="241">
        <f t="shared" si="2"/>
        <v>173.4</v>
      </c>
      <c r="R37" s="240">
        <f t="shared" si="4"/>
        <v>346.8</v>
      </c>
      <c r="S37" s="252">
        <f>+'Update Tables'!Y$13</f>
        <v>175</v>
      </c>
      <c r="T37" s="253">
        <f t="shared" si="11"/>
        <v>330</v>
      </c>
      <c r="U37" s="253">
        <f t="shared" si="11"/>
        <v>104</v>
      </c>
      <c r="V37" s="251">
        <f>+'Update Tables'!AC$13</f>
        <v>73.42999999999999</v>
      </c>
      <c r="W37" s="290" t="s">
        <v>77</v>
      </c>
      <c r="X37" s="15">
        <f t="shared" si="12"/>
        <v>7</v>
      </c>
      <c r="Y37" s="234">
        <v>0.1</v>
      </c>
      <c r="Z37" s="230">
        <v>0.25</v>
      </c>
      <c r="AA37" s="366">
        <v>0.3</v>
      </c>
      <c r="AE37" s="30"/>
      <c r="AF37" s="394"/>
      <c r="AP37" t="s">
        <v>355</v>
      </c>
    </row>
    <row r="38" spans="1:42" ht="12.75">
      <c r="A38" s="295">
        <v>1.02</v>
      </c>
      <c r="B38" s="285">
        <v>0.98</v>
      </c>
      <c r="C38" s="314">
        <v>30</v>
      </c>
      <c r="D38" s="316">
        <f aca="true" t="shared" si="13" ref="D38:D101">D37+0.01</f>
        <v>0.02</v>
      </c>
      <c r="E38" s="314">
        <v>27</v>
      </c>
      <c r="F38" s="318">
        <v>0.02</v>
      </c>
      <c r="G38" s="295">
        <v>1947</v>
      </c>
      <c r="H38" s="298">
        <v>66</v>
      </c>
      <c r="I38" s="298">
        <v>0</v>
      </c>
      <c r="J38" s="291">
        <f t="shared" si="0"/>
        <v>66</v>
      </c>
      <c r="L38" s="221">
        <v>1984</v>
      </c>
      <c r="M38" s="275">
        <v>1230</v>
      </c>
      <c r="N38" s="275">
        <v>1230</v>
      </c>
      <c r="O38" s="286"/>
      <c r="P38" s="238">
        <f t="shared" si="5"/>
        <v>27</v>
      </c>
      <c r="Q38" s="241">
        <f t="shared" si="2"/>
        <v>177.63</v>
      </c>
      <c r="R38" s="240">
        <f t="shared" si="4"/>
        <v>355.26</v>
      </c>
      <c r="S38" s="252">
        <f>+'Update Tables'!Y$13</f>
        <v>175</v>
      </c>
      <c r="T38" s="253">
        <f t="shared" si="11"/>
        <v>330</v>
      </c>
      <c r="U38" s="253">
        <f t="shared" si="11"/>
        <v>104</v>
      </c>
      <c r="V38" s="251">
        <f>+'Update Tables'!AC$13</f>
        <v>73.42999999999999</v>
      </c>
      <c r="W38" s="290" t="s">
        <v>77</v>
      </c>
      <c r="X38" s="15">
        <f t="shared" si="12"/>
        <v>8</v>
      </c>
      <c r="Y38" s="234">
        <v>0.125</v>
      </c>
      <c r="Z38" s="230">
        <f t="shared" si="10"/>
        <v>0.275</v>
      </c>
      <c r="AA38" s="366">
        <v>0.3</v>
      </c>
      <c r="AE38" s="30"/>
      <c r="AF38" s="394"/>
      <c r="AO38" t="s">
        <v>332</v>
      </c>
      <c r="AP38" t="s">
        <v>356</v>
      </c>
    </row>
    <row r="39" spans="1:42" ht="12.75">
      <c r="A39" s="295">
        <v>1.03</v>
      </c>
      <c r="B39" s="285">
        <v>0.99</v>
      </c>
      <c r="C39" s="314">
        <v>50</v>
      </c>
      <c r="D39" s="316">
        <f t="shared" si="13"/>
        <v>0.03</v>
      </c>
      <c r="E39" s="314">
        <v>45</v>
      </c>
      <c r="F39" s="318">
        <v>0.03</v>
      </c>
      <c r="G39" s="295">
        <v>1948</v>
      </c>
      <c r="H39" s="298">
        <v>66</v>
      </c>
      <c r="I39" s="298">
        <v>0</v>
      </c>
      <c r="J39" s="291">
        <f t="shared" si="0"/>
        <v>66</v>
      </c>
      <c r="L39" s="221">
        <v>1985</v>
      </c>
      <c r="M39" s="275">
        <v>1263</v>
      </c>
      <c r="N39" s="275">
        <v>1263</v>
      </c>
      <c r="O39" s="287"/>
      <c r="P39" s="238">
        <f t="shared" si="5"/>
        <v>28</v>
      </c>
      <c r="Q39" s="241">
        <f t="shared" si="2"/>
        <v>181.86</v>
      </c>
      <c r="R39" s="240">
        <f t="shared" si="4"/>
        <v>363.72</v>
      </c>
      <c r="S39" s="252">
        <f>+'Update Tables'!Y$13</f>
        <v>175</v>
      </c>
      <c r="T39" s="253">
        <f t="shared" si="11"/>
        <v>330</v>
      </c>
      <c r="U39" s="253">
        <f t="shared" si="11"/>
        <v>104</v>
      </c>
      <c r="V39" s="251">
        <f>+'Update Tables'!AC$13</f>
        <v>73.42999999999999</v>
      </c>
      <c r="W39" s="290" t="s">
        <v>77</v>
      </c>
      <c r="X39" s="15">
        <f t="shared" si="12"/>
        <v>9</v>
      </c>
      <c r="Y39" s="234">
        <v>0.15</v>
      </c>
      <c r="Z39" s="230">
        <f t="shared" si="10"/>
        <v>0.30000000000000004</v>
      </c>
      <c r="AA39" s="366">
        <v>0.3</v>
      </c>
      <c r="AE39" s="30"/>
      <c r="AF39" s="394"/>
      <c r="AO39" t="s">
        <v>337</v>
      </c>
      <c r="AP39" t="s">
        <v>357</v>
      </c>
    </row>
    <row r="40" spans="1:42" ht="12.75">
      <c r="A40" s="295">
        <v>1.04</v>
      </c>
      <c r="B40" s="285">
        <v>0.99</v>
      </c>
      <c r="C40" s="314">
        <v>70</v>
      </c>
      <c r="D40" s="316">
        <f t="shared" si="13"/>
        <v>0.04</v>
      </c>
      <c r="E40" s="314">
        <v>63</v>
      </c>
      <c r="F40" s="318">
        <v>0.04</v>
      </c>
      <c r="G40" s="295">
        <v>1949</v>
      </c>
      <c r="H40" s="298">
        <v>66</v>
      </c>
      <c r="I40" s="298">
        <v>0</v>
      </c>
      <c r="J40" s="291">
        <f t="shared" si="0"/>
        <v>66</v>
      </c>
      <c r="L40" s="221">
        <v>1986</v>
      </c>
      <c r="M40" s="275">
        <v>1295</v>
      </c>
      <c r="N40" s="275">
        <v>1295</v>
      </c>
      <c r="O40" s="286"/>
      <c r="P40" s="238">
        <f t="shared" si="5"/>
        <v>29</v>
      </c>
      <c r="Q40" s="241">
        <f t="shared" si="2"/>
        <v>186.09</v>
      </c>
      <c r="R40" s="240">
        <f t="shared" si="4"/>
        <v>372.18</v>
      </c>
      <c r="S40" s="252">
        <f>+'Update Tables'!Y$13</f>
        <v>175</v>
      </c>
      <c r="T40" s="253">
        <f t="shared" si="11"/>
        <v>330</v>
      </c>
      <c r="U40" s="253">
        <f t="shared" si="11"/>
        <v>104</v>
      </c>
      <c r="V40" s="251">
        <f>+'Update Tables'!AC$13</f>
        <v>73.42999999999999</v>
      </c>
      <c r="W40" s="290" t="s">
        <v>77</v>
      </c>
      <c r="X40" s="15">
        <f t="shared" si="12"/>
        <v>10</v>
      </c>
      <c r="Y40" s="234">
        <v>0.15</v>
      </c>
      <c r="Z40" s="230">
        <v>0.3</v>
      </c>
      <c r="AA40" s="366">
        <v>0.4</v>
      </c>
      <c r="AP40" t="s">
        <v>359</v>
      </c>
    </row>
    <row r="41" spans="1:42" ht="12.75">
      <c r="A41" s="295">
        <v>1.05</v>
      </c>
      <c r="B41" s="285">
        <v>1</v>
      </c>
      <c r="C41" s="314">
        <v>90</v>
      </c>
      <c r="D41" s="316">
        <f t="shared" si="13"/>
        <v>0.05</v>
      </c>
      <c r="E41" s="314">
        <v>81</v>
      </c>
      <c r="F41" s="318">
        <v>0.05</v>
      </c>
      <c r="G41" s="295">
        <v>1950</v>
      </c>
      <c r="H41" s="298">
        <v>66</v>
      </c>
      <c r="I41" s="298">
        <v>0</v>
      </c>
      <c r="J41" s="291">
        <f t="shared" si="0"/>
        <v>66</v>
      </c>
      <c r="L41" s="221">
        <v>1987</v>
      </c>
      <c r="M41" s="275">
        <v>1326</v>
      </c>
      <c r="N41" s="275">
        <v>1326</v>
      </c>
      <c r="O41" s="286"/>
      <c r="P41" s="238">
        <f t="shared" si="5"/>
        <v>30</v>
      </c>
      <c r="Q41" s="241">
        <f t="shared" si="2"/>
        <v>190.32</v>
      </c>
      <c r="R41" s="240">
        <f t="shared" si="4"/>
        <v>380.64</v>
      </c>
      <c r="S41" s="252">
        <f>+'Update Tables'!Y$12</f>
        <v>200</v>
      </c>
      <c r="T41" s="253">
        <f aca="true" t="shared" si="14" ref="T41:U45">+Z$12</f>
        <v>385</v>
      </c>
      <c r="U41" s="253">
        <f t="shared" si="14"/>
        <v>121</v>
      </c>
      <c r="V41" s="251">
        <f>+'Update Tables'!AC$12</f>
        <v>83.92000000000002</v>
      </c>
      <c r="W41" s="358" t="s">
        <v>76</v>
      </c>
      <c r="X41" s="15">
        <f t="shared" si="12"/>
        <v>11</v>
      </c>
      <c r="Y41" s="234">
        <v>0.175</v>
      </c>
      <c r="Z41" s="230">
        <f t="shared" si="10"/>
        <v>0.325</v>
      </c>
      <c r="AA41" s="366">
        <v>0.4</v>
      </c>
      <c r="AP41" t="s">
        <v>360</v>
      </c>
    </row>
    <row r="42" spans="1:42" ht="12.75">
      <c r="A42" s="295">
        <v>1.06</v>
      </c>
      <c r="B42" s="285">
        <v>1.01</v>
      </c>
      <c r="C42" s="314">
        <v>110</v>
      </c>
      <c r="D42" s="316">
        <f t="shared" si="13"/>
        <v>0.060000000000000005</v>
      </c>
      <c r="E42" s="314">
        <v>99</v>
      </c>
      <c r="F42" s="318">
        <v>0.06</v>
      </c>
      <c r="G42" s="295">
        <v>1951</v>
      </c>
      <c r="H42" s="298">
        <v>66</v>
      </c>
      <c r="I42" s="298">
        <v>0</v>
      </c>
      <c r="J42" s="291">
        <f t="shared" si="0"/>
        <v>66</v>
      </c>
      <c r="L42" s="221">
        <v>1988</v>
      </c>
      <c r="M42" s="275">
        <v>1360</v>
      </c>
      <c r="N42" s="275">
        <v>1360</v>
      </c>
      <c r="O42" s="286"/>
      <c r="P42" s="238">
        <f t="shared" si="5"/>
        <v>31</v>
      </c>
      <c r="Q42" s="241">
        <f t="shared" si="2"/>
        <v>194.55</v>
      </c>
      <c r="R42" s="240">
        <f t="shared" si="4"/>
        <v>389.1</v>
      </c>
      <c r="S42" s="252">
        <f>+'Update Tables'!Y$12</f>
        <v>200</v>
      </c>
      <c r="T42" s="253">
        <f t="shared" si="14"/>
        <v>385</v>
      </c>
      <c r="U42" s="253">
        <f t="shared" si="14"/>
        <v>121</v>
      </c>
      <c r="V42" s="251">
        <f>+'Update Tables'!AC$12</f>
        <v>83.92000000000002</v>
      </c>
      <c r="W42" s="358" t="s">
        <v>76</v>
      </c>
      <c r="X42" s="15">
        <f t="shared" si="12"/>
        <v>12</v>
      </c>
      <c r="Y42" s="234">
        <v>0.2</v>
      </c>
      <c r="Z42" s="230">
        <f t="shared" si="10"/>
        <v>0.35000000000000003</v>
      </c>
      <c r="AA42" s="366">
        <v>0.4</v>
      </c>
      <c r="AP42" t="s">
        <v>361</v>
      </c>
    </row>
    <row r="43" spans="1:42" ht="12.75">
      <c r="A43" s="295">
        <v>1.07</v>
      </c>
      <c r="B43" s="285">
        <v>1.01</v>
      </c>
      <c r="C43" s="314">
        <v>130</v>
      </c>
      <c r="D43" s="316">
        <f t="shared" si="13"/>
        <v>0.07</v>
      </c>
      <c r="E43" s="314">
        <v>117</v>
      </c>
      <c r="F43" s="318">
        <v>0.07</v>
      </c>
      <c r="G43" s="295">
        <v>1952</v>
      </c>
      <c r="H43" s="298">
        <v>66</v>
      </c>
      <c r="I43" s="298">
        <v>0</v>
      </c>
      <c r="J43" s="291">
        <f aca="true" t="shared" si="15" ref="J43:J71">H43+(I43/12)</f>
        <v>66</v>
      </c>
      <c r="L43" s="221">
        <v>1989</v>
      </c>
      <c r="M43" s="275">
        <v>1409</v>
      </c>
      <c r="N43" s="275">
        <v>1409</v>
      </c>
      <c r="O43" s="286"/>
      <c r="P43" s="238">
        <f t="shared" si="5"/>
        <v>32</v>
      </c>
      <c r="Q43" s="241">
        <f t="shared" si="2"/>
        <v>198.78</v>
      </c>
      <c r="R43" s="240">
        <f t="shared" si="4"/>
        <v>397.56</v>
      </c>
      <c r="S43" s="252">
        <f>+'Update Tables'!Y$12</f>
        <v>200</v>
      </c>
      <c r="T43" s="253">
        <f t="shared" si="14"/>
        <v>385</v>
      </c>
      <c r="U43" s="253">
        <f t="shared" si="14"/>
        <v>121</v>
      </c>
      <c r="V43" s="251">
        <f>+'Update Tables'!AC$12</f>
        <v>83.92000000000002</v>
      </c>
      <c r="W43" s="358" t="s">
        <v>76</v>
      </c>
      <c r="X43" s="15">
        <f t="shared" si="12"/>
        <v>13</v>
      </c>
      <c r="Y43" s="234">
        <v>0.2</v>
      </c>
      <c r="Z43" s="230">
        <v>0.35</v>
      </c>
      <c r="AA43" s="366">
        <v>0.4</v>
      </c>
      <c r="AO43" t="s">
        <v>362</v>
      </c>
      <c r="AP43" t="s">
        <v>363</v>
      </c>
    </row>
    <row r="44" spans="1:42" ht="12.75">
      <c r="A44" s="295">
        <v>1.08</v>
      </c>
      <c r="B44" s="285">
        <v>1.02</v>
      </c>
      <c r="C44" s="314">
        <v>150</v>
      </c>
      <c r="D44" s="316">
        <f t="shared" si="13"/>
        <v>0.08</v>
      </c>
      <c r="E44" s="314">
        <v>135</v>
      </c>
      <c r="F44" s="318">
        <v>0.08</v>
      </c>
      <c r="G44" s="295">
        <v>1953</v>
      </c>
      <c r="H44" s="298">
        <v>66</v>
      </c>
      <c r="I44" s="298">
        <v>0</v>
      </c>
      <c r="J44" s="291">
        <f t="shared" si="15"/>
        <v>66</v>
      </c>
      <c r="L44" s="221">
        <v>1990</v>
      </c>
      <c r="M44" s="275">
        <v>1461</v>
      </c>
      <c r="N44" s="275">
        <v>1461</v>
      </c>
      <c r="O44" s="286"/>
      <c r="P44" s="238">
        <f t="shared" si="5"/>
        <v>33</v>
      </c>
      <c r="Q44" s="241">
        <f t="shared" si="2"/>
        <v>203.01</v>
      </c>
      <c r="R44" s="240">
        <f t="shared" si="4"/>
        <v>406.02</v>
      </c>
      <c r="S44" s="252">
        <f>+'Update Tables'!Y$12</f>
        <v>200</v>
      </c>
      <c r="T44" s="253">
        <f t="shared" si="14"/>
        <v>385</v>
      </c>
      <c r="U44" s="253">
        <f t="shared" si="14"/>
        <v>121</v>
      </c>
      <c r="V44" s="251">
        <f>+'Update Tables'!AC$12</f>
        <v>83.92000000000002</v>
      </c>
      <c r="W44" s="358" t="s">
        <v>76</v>
      </c>
      <c r="X44" s="15">
        <f t="shared" si="12"/>
        <v>14</v>
      </c>
      <c r="Y44" s="234">
        <v>0.225</v>
      </c>
      <c r="Z44" s="230">
        <f t="shared" si="10"/>
        <v>0.375</v>
      </c>
      <c r="AA44" s="366">
        <v>0.4</v>
      </c>
      <c r="AN44">
        <v>10.9</v>
      </c>
      <c r="AO44" t="s">
        <v>337</v>
      </c>
      <c r="AP44" t="s">
        <v>267</v>
      </c>
    </row>
    <row r="45" spans="1:42" ht="12.75">
      <c r="A45" s="295">
        <v>1.09</v>
      </c>
      <c r="B45" s="285">
        <v>1.03</v>
      </c>
      <c r="C45" s="314">
        <v>170</v>
      </c>
      <c r="D45" s="316">
        <f t="shared" si="13"/>
        <v>0.09</v>
      </c>
      <c r="E45" s="314">
        <v>153</v>
      </c>
      <c r="F45" s="318">
        <v>0.09</v>
      </c>
      <c r="G45" s="295">
        <v>1954</v>
      </c>
      <c r="H45" s="298">
        <v>66</v>
      </c>
      <c r="I45" s="298">
        <v>0</v>
      </c>
      <c r="J45" s="291">
        <f t="shared" si="15"/>
        <v>66</v>
      </c>
      <c r="L45" s="221">
        <v>1991</v>
      </c>
      <c r="M45" s="275">
        <v>1510</v>
      </c>
      <c r="N45" s="275">
        <v>1510</v>
      </c>
      <c r="O45" s="286"/>
      <c r="P45" s="238">
        <f t="shared" si="5"/>
        <v>34</v>
      </c>
      <c r="Q45" s="241">
        <f t="shared" si="2"/>
        <v>207.24</v>
      </c>
      <c r="R45" s="240">
        <f t="shared" si="4"/>
        <v>414.48</v>
      </c>
      <c r="S45" s="252">
        <f>+'Update Tables'!Y$12</f>
        <v>200</v>
      </c>
      <c r="T45" s="253">
        <f t="shared" si="14"/>
        <v>385</v>
      </c>
      <c r="U45" s="253">
        <f t="shared" si="14"/>
        <v>121</v>
      </c>
      <c r="V45" s="251">
        <f>+'Update Tables'!AC$12</f>
        <v>83.92000000000002</v>
      </c>
      <c r="W45" s="358" t="s">
        <v>76</v>
      </c>
      <c r="X45" s="15">
        <f t="shared" si="12"/>
        <v>15</v>
      </c>
      <c r="Y45" s="234">
        <v>0.25</v>
      </c>
      <c r="Z45" s="230">
        <f t="shared" si="10"/>
        <v>0.4</v>
      </c>
      <c r="AA45" s="366">
        <v>0.5</v>
      </c>
      <c r="AO45" t="s">
        <v>162</v>
      </c>
      <c r="AP45" t="s">
        <v>163</v>
      </c>
    </row>
    <row r="46" spans="1:42" ht="12.75">
      <c r="A46" s="295">
        <v>1.1</v>
      </c>
      <c r="B46" s="285">
        <v>1.03</v>
      </c>
      <c r="C46" s="314">
        <v>190</v>
      </c>
      <c r="D46" s="316">
        <f t="shared" si="13"/>
        <v>0.09999999999999999</v>
      </c>
      <c r="E46" s="314">
        <v>171</v>
      </c>
      <c r="F46" s="318">
        <v>0.1</v>
      </c>
      <c r="G46" s="295">
        <v>1955</v>
      </c>
      <c r="H46" s="298">
        <v>66</v>
      </c>
      <c r="I46" s="298">
        <v>2</v>
      </c>
      <c r="J46" s="291">
        <f t="shared" si="15"/>
        <v>66.16666666666667</v>
      </c>
      <c r="L46" s="221">
        <v>1992</v>
      </c>
      <c r="M46" s="275">
        <v>1530</v>
      </c>
      <c r="N46" s="275">
        <v>1548</v>
      </c>
      <c r="O46" s="286"/>
      <c r="P46" s="238">
        <f t="shared" si="5"/>
        <v>35</v>
      </c>
      <c r="Q46" s="241">
        <f>ROUND($R$63*1.025,2)</f>
        <v>211.47</v>
      </c>
      <c r="R46" s="240">
        <f t="shared" si="4"/>
        <v>422.94</v>
      </c>
      <c r="S46" s="252">
        <f>+'Update Tables'!Y$11</f>
        <v>220</v>
      </c>
      <c r="T46" s="253">
        <f aca="true" t="shared" si="16" ref="T46:T61">+Z$11</f>
        <v>440</v>
      </c>
      <c r="U46" s="253">
        <f aca="true" t="shared" si="17" ref="U46:U61">+AA$11</f>
        <v>138</v>
      </c>
      <c r="V46" s="251">
        <f>+'Update Tables'!AC$11</f>
        <v>94.41000000000001</v>
      </c>
      <c r="W46" s="290" t="s">
        <v>75</v>
      </c>
      <c r="X46" s="15">
        <f t="shared" si="12"/>
        <v>16</v>
      </c>
      <c r="Y46" s="234">
        <f>+Y45+2.5%</f>
        <v>0.275</v>
      </c>
      <c r="Z46" s="230">
        <f t="shared" si="10"/>
        <v>0.42500000000000004</v>
      </c>
      <c r="AA46" s="366">
        <v>0.5</v>
      </c>
      <c r="AO46" t="s">
        <v>337</v>
      </c>
      <c r="AP46" t="s">
        <v>165</v>
      </c>
    </row>
    <row r="47" spans="1:42" ht="12.75">
      <c r="A47" s="295">
        <v>1.11</v>
      </c>
      <c r="B47" s="285">
        <v>1.04</v>
      </c>
      <c r="C47" s="314">
        <v>210</v>
      </c>
      <c r="D47" s="316">
        <f t="shared" si="13"/>
        <v>0.10999999999999999</v>
      </c>
      <c r="E47" s="314">
        <v>189</v>
      </c>
      <c r="F47" s="318">
        <v>0.11</v>
      </c>
      <c r="G47" s="295">
        <v>1956</v>
      </c>
      <c r="H47" s="298">
        <v>66</v>
      </c>
      <c r="I47" s="298">
        <v>4</v>
      </c>
      <c r="J47" s="291">
        <f t="shared" si="15"/>
        <v>66.33333333333333</v>
      </c>
      <c r="L47" s="221">
        <v>1993</v>
      </c>
      <c r="M47" s="275">
        <v>1565</v>
      </c>
      <c r="N47" s="275">
        <v>1587</v>
      </c>
      <c r="O47" s="286"/>
      <c r="P47" s="238">
        <f t="shared" si="5"/>
        <v>36</v>
      </c>
      <c r="Q47" s="241">
        <f aca="true" t="shared" si="18" ref="Q47:Q61">ROUND($R$63*1.025,2)</f>
        <v>211.47</v>
      </c>
      <c r="R47" s="240">
        <f aca="true" t="shared" si="19" ref="R47:R61">Q47*2</f>
        <v>422.94</v>
      </c>
      <c r="S47" s="252">
        <f>+'Update Tables'!Y$11</f>
        <v>220</v>
      </c>
      <c r="T47" s="253">
        <f t="shared" si="16"/>
        <v>440</v>
      </c>
      <c r="U47" s="253">
        <f t="shared" si="17"/>
        <v>138</v>
      </c>
      <c r="V47" s="251">
        <f>+'Update Tables'!AC$11</f>
        <v>94.41000000000001</v>
      </c>
      <c r="W47" s="290" t="s">
        <v>75</v>
      </c>
      <c r="X47" s="15">
        <f t="shared" si="12"/>
        <v>17</v>
      </c>
      <c r="Y47" s="234">
        <f aca="true" t="shared" si="20" ref="Y47:Y65">+Y46+2.5%</f>
        <v>0.30000000000000004</v>
      </c>
      <c r="Z47" s="230">
        <f t="shared" si="10"/>
        <v>0.45000000000000007</v>
      </c>
      <c r="AA47" s="366">
        <v>0.5</v>
      </c>
      <c r="AP47" t="s">
        <v>164</v>
      </c>
    </row>
    <row r="48" spans="1:42" ht="12.75">
      <c r="A48" s="295">
        <v>1.12</v>
      </c>
      <c r="B48" s="285">
        <v>1.05</v>
      </c>
      <c r="C48" s="314">
        <v>230</v>
      </c>
      <c r="D48" s="316">
        <f t="shared" si="13"/>
        <v>0.11999999999999998</v>
      </c>
      <c r="E48" s="314">
        <v>207</v>
      </c>
      <c r="F48" s="318">
        <v>0.12</v>
      </c>
      <c r="G48" s="295">
        <v>1957</v>
      </c>
      <c r="H48" s="298">
        <v>66</v>
      </c>
      <c r="I48" s="298">
        <v>6</v>
      </c>
      <c r="J48" s="291">
        <f t="shared" si="15"/>
        <v>66.5</v>
      </c>
      <c r="L48" s="221">
        <v>1994</v>
      </c>
      <c r="M48" s="275">
        <v>1588</v>
      </c>
      <c r="N48" s="275">
        <v>1627</v>
      </c>
      <c r="O48" s="286"/>
      <c r="P48" s="238">
        <f t="shared" si="5"/>
        <v>37</v>
      </c>
      <c r="Q48" s="241">
        <f t="shared" si="18"/>
        <v>211.47</v>
      </c>
      <c r="R48" s="240">
        <f t="shared" si="19"/>
        <v>422.94</v>
      </c>
      <c r="S48" s="252">
        <f>+'Update Tables'!Y$11</f>
        <v>220</v>
      </c>
      <c r="T48" s="253">
        <f t="shared" si="16"/>
        <v>440</v>
      </c>
      <c r="U48" s="253">
        <f t="shared" si="17"/>
        <v>138</v>
      </c>
      <c r="V48" s="251">
        <f>+'Update Tables'!AC$11</f>
        <v>94.41000000000001</v>
      </c>
      <c r="W48" s="290" t="s">
        <v>75</v>
      </c>
      <c r="X48" s="15">
        <f t="shared" si="12"/>
        <v>18</v>
      </c>
      <c r="Y48" s="234">
        <f t="shared" si="20"/>
        <v>0.32500000000000007</v>
      </c>
      <c r="Z48" s="230">
        <f t="shared" si="10"/>
        <v>0.4750000000000001</v>
      </c>
      <c r="AA48" s="366">
        <v>0.5</v>
      </c>
      <c r="AO48" t="s">
        <v>162</v>
      </c>
      <c r="AP48" t="s">
        <v>202</v>
      </c>
    </row>
    <row r="49" spans="1:42" ht="12.75">
      <c r="A49" s="295">
        <v>1.13</v>
      </c>
      <c r="B49" s="285">
        <v>1.05</v>
      </c>
      <c r="C49" s="314">
        <v>250</v>
      </c>
      <c r="D49" s="316">
        <f t="shared" si="13"/>
        <v>0.12999999999999998</v>
      </c>
      <c r="E49" s="314">
        <v>225</v>
      </c>
      <c r="F49" s="318">
        <v>0.13</v>
      </c>
      <c r="G49" s="295">
        <v>1958</v>
      </c>
      <c r="H49" s="298">
        <v>66</v>
      </c>
      <c r="I49" s="298">
        <v>8</v>
      </c>
      <c r="J49" s="291">
        <f t="shared" si="15"/>
        <v>66.66666666666667</v>
      </c>
      <c r="L49" s="221">
        <v>1995</v>
      </c>
      <c r="M49" s="275">
        <v>1607</v>
      </c>
      <c r="N49" s="275">
        <v>1668</v>
      </c>
      <c r="O49" s="267">
        <v>46.1</v>
      </c>
      <c r="P49" s="238">
        <f t="shared" si="5"/>
        <v>38</v>
      </c>
      <c r="Q49" s="241">
        <f t="shared" si="18"/>
        <v>211.47</v>
      </c>
      <c r="R49" s="240">
        <f t="shared" si="19"/>
        <v>422.94</v>
      </c>
      <c r="S49" s="252">
        <f>+'Update Tables'!Y$11</f>
        <v>220</v>
      </c>
      <c r="T49" s="253">
        <f t="shared" si="16"/>
        <v>440</v>
      </c>
      <c r="U49" s="253">
        <f t="shared" si="17"/>
        <v>138</v>
      </c>
      <c r="V49" s="251">
        <f>+'Update Tables'!AC$11</f>
        <v>94.41000000000001</v>
      </c>
      <c r="W49" s="290" t="s">
        <v>75</v>
      </c>
      <c r="X49" s="15">
        <f t="shared" si="12"/>
        <v>19</v>
      </c>
      <c r="Y49" s="234">
        <f t="shared" si="20"/>
        <v>0.3500000000000001</v>
      </c>
      <c r="Z49" s="230">
        <f t="shared" si="10"/>
        <v>0.5000000000000001</v>
      </c>
      <c r="AA49" s="366">
        <v>0.5</v>
      </c>
      <c r="AO49" t="s">
        <v>337</v>
      </c>
      <c r="AP49" t="s">
        <v>154</v>
      </c>
    </row>
    <row r="50" spans="1:42" ht="12.75">
      <c r="A50" s="295">
        <v>1.14</v>
      </c>
      <c r="B50" s="285">
        <v>1.06</v>
      </c>
      <c r="C50" s="314">
        <v>270</v>
      </c>
      <c r="D50" s="316">
        <f t="shared" si="13"/>
        <v>0.13999999999999999</v>
      </c>
      <c r="E50" s="314">
        <v>243</v>
      </c>
      <c r="F50" s="318">
        <v>0.14</v>
      </c>
      <c r="G50" s="295">
        <v>1959</v>
      </c>
      <c r="H50" s="298">
        <v>66</v>
      </c>
      <c r="I50" s="298">
        <v>10</v>
      </c>
      <c r="J50" s="291">
        <f t="shared" si="15"/>
        <v>66.83333333333333</v>
      </c>
      <c r="L50" s="221">
        <v>1996</v>
      </c>
      <c r="M50" s="275">
        <v>1631</v>
      </c>
      <c r="N50" s="275">
        <v>1710</v>
      </c>
      <c r="O50" s="267">
        <v>42.5</v>
      </c>
      <c r="P50" s="238">
        <f t="shared" si="5"/>
        <v>39</v>
      </c>
      <c r="Q50" s="241">
        <f t="shared" si="18"/>
        <v>211.47</v>
      </c>
      <c r="R50" s="240">
        <f t="shared" si="19"/>
        <v>422.94</v>
      </c>
      <c r="S50" s="252">
        <f>+'Update Tables'!Y$11</f>
        <v>220</v>
      </c>
      <c r="T50" s="253">
        <f t="shared" si="16"/>
        <v>440</v>
      </c>
      <c r="U50" s="253">
        <f t="shared" si="17"/>
        <v>138</v>
      </c>
      <c r="V50" s="251">
        <f>+'Update Tables'!AC$11</f>
        <v>94.41000000000001</v>
      </c>
      <c r="W50" s="290" t="s">
        <v>75</v>
      </c>
      <c r="X50" s="15">
        <f t="shared" si="12"/>
        <v>20</v>
      </c>
      <c r="Y50" s="234">
        <f t="shared" si="20"/>
        <v>0.3750000000000001</v>
      </c>
      <c r="Z50" s="230">
        <f t="shared" si="10"/>
        <v>0.5250000000000001</v>
      </c>
      <c r="AA50" s="366">
        <v>0.6</v>
      </c>
      <c r="AN50">
        <v>10.91</v>
      </c>
      <c r="AO50" t="s">
        <v>337</v>
      </c>
      <c r="AP50" t="s">
        <v>380</v>
      </c>
    </row>
    <row r="51" spans="1:42" ht="12.75">
      <c r="A51" s="295">
        <v>1.15</v>
      </c>
      <c r="B51" s="285">
        <v>1.07</v>
      </c>
      <c r="C51" s="314">
        <v>290</v>
      </c>
      <c r="D51" s="316">
        <f t="shared" si="13"/>
        <v>0.15</v>
      </c>
      <c r="E51" s="314">
        <v>261</v>
      </c>
      <c r="F51" s="318">
        <v>0.15</v>
      </c>
      <c r="G51" s="295">
        <v>1960</v>
      </c>
      <c r="H51" s="298">
        <v>67</v>
      </c>
      <c r="I51" s="298">
        <v>0</v>
      </c>
      <c r="J51" s="291">
        <f t="shared" si="15"/>
        <v>67</v>
      </c>
      <c r="L51" s="221">
        <v>1997</v>
      </c>
      <c r="M51" s="275">
        <v>1669</v>
      </c>
      <c r="N51" s="275">
        <v>1753</v>
      </c>
      <c r="O51" s="267">
        <v>43.8</v>
      </c>
      <c r="P51" s="238">
        <f t="shared" si="5"/>
        <v>40</v>
      </c>
      <c r="Q51" s="241">
        <f t="shared" si="18"/>
        <v>211.47</v>
      </c>
      <c r="R51" s="240">
        <f t="shared" si="19"/>
        <v>422.94</v>
      </c>
      <c r="S51" s="252">
        <f>+'Update Tables'!Y$11</f>
        <v>220</v>
      </c>
      <c r="T51" s="253">
        <f t="shared" si="16"/>
        <v>440</v>
      </c>
      <c r="U51" s="253">
        <f t="shared" si="17"/>
        <v>138</v>
      </c>
      <c r="V51" s="251">
        <f>+'Update Tables'!AC$11</f>
        <v>94.41000000000001</v>
      </c>
      <c r="W51" s="290" t="s">
        <v>75</v>
      </c>
      <c r="X51" s="15">
        <f t="shared" si="12"/>
        <v>21</v>
      </c>
      <c r="Y51" s="234">
        <f t="shared" si="20"/>
        <v>0.40000000000000013</v>
      </c>
      <c r="Z51" s="230">
        <f t="shared" si="10"/>
        <v>0.5500000000000002</v>
      </c>
      <c r="AA51" s="366">
        <v>0.6</v>
      </c>
      <c r="AP51" t="s">
        <v>381</v>
      </c>
    </row>
    <row r="52" spans="1:42" ht="12.75">
      <c r="A52" s="295">
        <v>1.16</v>
      </c>
      <c r="B52" s="285">
        <v>1.07</v>
      </c>
      <c r="C52" s="314">
        <v>310</v>
      </c>
      <c r="D52" s="316">
        <f t="shared" si="13"/>
        <v>0.16</v>
      </c>
      <c r="E52" s="314">
        <v>279</v>
      </c>
      <c r="F52" s="318">
        <v>0.16</v>
      </c>
      <c r="G52" s="295">
        <v>1961</v>
      </c>
      <c r="H52" s="298">
        <v>67</v>
      </c>
      <c r="I52" s="298">
        <v>0</v>
      </c>
      <c r="J52" s="291">
        <f t="shared" si="15"/>
        <v>67</v>
      </c>
      <c r="L52" s="221">
        <v>1998</v>
      </c>
      <c r="M52" s="275">
        <v>1709</v>
      </c>
      <c r="N52" s="275">
        <v>1797</v>
      </c>
      <c r="O52" s="267">
        <v>43.8</v>
      </c>
      <c r="P52" s="238">
        <f t="shared" si="5"/>
        <v>41</v>
      </c>
      <c r="Q52" s="241">
        <f t="shared" si="18"/>
        <v>211.47</v>
      </c>
      <c r="R52" s="240">
        <f t="shared" si="19"/>
        <v>422.94</v>
      </c>
      <c r="S52" s="252">
        <f>+'Update Tables'!Y$11</f>
        <v>220</v>
      </c>
      <c r="T52" s="253">
        <f t="shared" si="16"/>
        <v>440</v>
      </c>
      <c r="U52" s="253">
        <f t="shared" si="17"/>
        <v>138</v>
      </c>
      <c r="V52" s="251">
        <f>+'Update Tables'!AC$11</f>
        <v>94.41000000000001</v>
      </c>
      <c r="W52" s="290" t="s">
        <v>75</v>
      </c>
      <c r="X52" s="15">
        <f t="shared" si="12"/>
        <v>22</v>
      </c>
      <c r="Y52" s="234">
        <f t="shared" si="20"/>
        <v>0.42500000000000016</v>
      </c>
      <c r="Z52" s="230">
        <f t="shared" si="10"/>
        <v>0.5750000000000002</v>
      </c>
      <c r="AA52" s="366">
        <v>0.6</v>
      </c>
      <c r="AN52">
        <v>10.92</v>
      </c>
      <c r="AO52" t="s">
        <v>332</v>
      </c>
      <c r="AP52" t="s">
        <v>273</v>
      </c>
    </row>
    <row r="53" spans="1:42" ht="12.75">
      <c r="A53" s="295">
        <v>1.17</v>
      </c>
      <c r="B53" s="285">
        <v>1.08</v>
      </c>
      <c r="C53" s="314">
        <v>330</v>
      </c>
      <c r="D53" s="316">
        <f t="shared" si="13"/>
        <v>0.17</v>
      </c>
      <c r="E53" s="314">
        <v>297</v>
      </c>
      <c r="F53" s="318">
        <v>0.17</v>
      </c>
      <c r="G53" s="295">
        <v>1962</v>
      </c>
      <c r="H53" s="298">
        <v>67</v>
      </c>
      <c r="I53" s="298">
        <v>0</v>
      </c>
      <c r="J53" s="291">
        <f t="shared" si="15"/>
        <v>67</v>
      </c>
      <c r="L53" s="221">
        <v>1999</v>
      </c>
      <c r="M53" s="275">
        <v>1743</v>
      </c>
      <c r="N53" s="275">
        <v>1828</v>
      </c>
      <c r="O53" s="267">
        <v>45.5</v>
      </c>
      <c r="P53" s="238">
        <f t="shared" si="5"/>
        <v>42</v>
      </c>
      <c r="Q53" s="241">
        <f t="shared" si="18"/>
        <v>211.47</v>
      </c>
      <c r="R53" s="240">
        <f t="shared" si="19"/>
        <v>422.94</v>
      </c>
      <c r="S53" s="252">
        <f>+'Update Tables'!Y$11</f>
        <v>220</v>
      </c>
      <c r="T53" s="253">
        <f t="shared" si="16"/>
        <v>440</v>
      </c>
      <c r="U53" s="253">
        <f t="shared" si="17"/>
        <v>138</v>
      </c>
      <c r="V53" s="251">
        <f>+'Update Tables'!AC$11</f>
        <v>94.41000000000001</v>
      </c>
      <c r="W53" s="290" t="s">
        <v>75</v>
      </c>
      <c r="X53" s="15">
        <f t="shared" si="12"/>
        <v>23</v>
      </c>
      <c r="Y53" s="234">
        <f t="shared" si="20"/>
        <v>0.4500000000000002</v>
      </c>
      <c r="Z53" s="230">
        <f t="shared" si="10"/>
        <v>0.6000000000000002</v>
      </c>
      <c r="AA53" s="366">
        <v>0.6</v>
      </c>
      <c r="AO53" t="s">
        <v>309</v>
      </c>
      <c r="AP53" t="s">
        <v>310</v>
      </c>
    </row>
    <row r="54" spans="1:42" ht="12.75">
      <c r="A54" s="295">
        <v>1.18</v>
      </c>
      <c r="B54" s="285">
        <v>1.09</v>
      </c>
      <c r="C54" s="314">
        <v>350</v>
      </c>
      <c r="D54" s="316">
        <f t="shared" si="13"/>
        <v>0.18000000000000002</v>
      </c>
      <c r="E54" s="314">
        <v>315</v>
      </c>
      <c r="F54" s="318">
        <v>0.18</v>
      </c>
      <c r="G54" s="295">
        <v>1963</v>
      </c>
      <c r="H54" s="298">
        <v>67</v>
      </c>
      <c r="I54" s="298">
        <v>0</v>
      </c>
      <c r="J54" s="291">
        <f t="shared" si="15"/>
        <v>67</v>
      </c>
      <c r="L54" s="221">
        <v>2000</v>
      </c>
      <c r="M54" s="275">
        <v>1777</v>
      </c>
      <c r="N54" s="275">
        <v>1865</v>
      </c>
      <c r="O54" s="267">
        <v>45.5</v>
      </c>
      <c r="P54" s="238">
        <f t="shared" si="5"/>
        <v>43</v>
      </c>
      <c r="Q54" s="241">
        <f t="shared" si="18"/>
        <v>211.47</v>
      </c>
      <c r="R54" s="240">
        <f t="shared" si="19"/>
        <v>422.94</v>
      </c>
      <c r="S54" s="252">
        <f>+'Update Tables'!Y$11</f>
        <v>220</v>
      </c>
      <c r="T54" s="253">
        <f t="shared" si="16"/>
        <v>440</v>
      </c>
      <c r="U54" s="253">
        <f t="shared" si="17"/>
        <v>138</v>
      </c>
      <c r="V54" s="251">
        <f>+'Update Tables'!AC$11</f>
        <v>94.41000000000001</v>
      </c>
      <c r="W54" s="290" t="s">
        <v>75</v>
      </c>
      <c r="X54" s="15">
        <f t="shared" si="12"/>
        <v>24</v>
      </c>
      <c r="Y54" s="234">
        <f t="shared" si="20"/>
        <v>0.4750000000000002</v>
      </c>
      <c r="Z54" s="230">
        <f t="shared" si="10"/>
        <v>0.6250000000000002</v>
      </c>
      <c r="AA54" s="366">
        <v>0.6</v>
      </c>
      <c r="AO54" t="s">
        <v>175</v>
      </c>
      <c r="AP54" t="s">
        <v>176</v>
      </c>
    </row>
    <row r="55" spans="1:42" ht="12.75">
      <c r="A55" s="295">
        <v>1.19</v>
      </c>
      <c r="B55" s="285">
        <v>1.09</v>
      </c>
      <c r="C55" s="314">
        <v>370</v>
      </c>
      <c r="D55" s="316">
        <f t="shared" si="13"/>
        <v>0.19000000000000003</v>
      </c>
      <c r="E55" s="314">
        <v>333</v>
      </c>
      <c r="F55" s="318">
        <v>0.19</v>
      </c>
      <c r="G55" s="295">
        <v>1964</v>
      </c>
      <c r="H55" s="298">
        <v>67</v>
      </c>
      <c r="I55" s="298">
        <v>0</v>
      </c>
      <c r="J55" s="291">
        <f t="shared" si="15"/>
        <v>67</v>
      </c>
      <c r="L55" s="221">
        <v>2001</v>
      </c>
      <c r="M55" s="275">
        <v>1842</v>
      </c>
      <c r="N55" s="275">
        <v>1912</v>
      </c>
      <c r="O55" s="267">
        <v>50</v>
      </c>
      <c r="P55" s="238">
        <f t="shared" si="5"/>
        <v>44</v>
      </c>
      <c r="Q55" s="241">
        <f t="shared" si="18"/>
        <v>211.47</v>
      </c>
      <c r="R55" s="240">
        <f t="shared" si="19"/>
        <v>422.94</v>
      </c>
      <c r="S55" s="252">
        <f>+'Update Tables'!Y$11</f>
        <v>220</v>
      </c>
      <c r="T55" s="253">
        <f t="shared" si="16"/>
        <v>440</v>
      </c>
      <c r="U55" s="253">
        <f t="shared" si="17"/>
        <v>138</v>
      </c>
      <c r="V55" s="251">
        <f>+'Update Tables'!AC$11</f>
        <v>94.41000000000001</v>
      </c>
      <c r="W55" s="290" t="s">
        <v>75</v>
      </c>
      <c r="X55" s="15">
        <f t="shared" si="12"/>
        <v>25</v>
      </c>
      <c r="Y55" s="234">
        <f t="shared" si="20"/>
        <v>0.5000000000000002</v>
      </c>
      <c r="Z55" s="230">
        <f t="shared" si="10"/>
        <v>0.6500000000000002</v>
      </c>
      <c r="AA55" s="366">
        <v>0.7</v>
      </c>
      <c r="AO55" t="s">
        <v>177</v>
      </c>
      <c r="AP55" t="s">
        <v>178</v>
      </c>
    </row>
    <row r="56" spans="1:42" ht="12.75">
      <c r="A56" s="295">
        <v>1.2</v>
      </c>
      <c r="B56" s="285">
        <v>1.1</v>
      </c>
      <c r="C56" s="314">
        <v>390</v>
      </c>
      <c r="D56" s="316">
        <f t="shared" si="13"/>
        <v>0.20000000000000004</v>
      </c>
      <c r="E56" s="314">
        <v>351</v>
      </c>
      <c r="F56" s="318">
        <v>0.2</v>
      </c>
      <c r="G56" s="295">
        <v>1965</v>
      </c>
      <c r="H56" s="298">
        <v>67</v>
      </c>
      <c r="I56" s="298">
        <v>0</v>
      </c>
      <c r="J56" s="291">
        <f t="shared" si="15"/>
        <v>67</v>
      </c>
      <c r="L56" s="221">
        <v>2002</v>
      </c>
      <c r="M56" s="275">
        <v>1901</v>
      </c>
      <c r="N56" s="275">
        <v>1982</v>
      </c>
      <c r="O56" s="267">
        <v>54</v>
      </c>
      <c r="P56" s="238">
        <f t="shared" si="5"/>
        <v>45</v>
      </c>
      <c r="Q56" s="241">
        <f t="shared" si="18"/>
        <v>211.47</v>
      </c>
      <c r="R56" s="240">
        <f t="shared" si="19"/>
        <v>422.94</v>
      </c>
      <c r="S56" s="252">
        <f>+'Update Tables'!Y$11</f>
        <v>220</v>
      </c>
      <c r="T56" s="253">
        <f t="shared" si="16"/>
        <v>440</v>
      </c>
      <c r="U56" s="253">
        <f t="shared" si="17"/>
        <v>138</v>
      </c>
      <c r="V56" s="251">
        <f>+'Update Tables'!AC$11</f>
        <v>94.41000000000001</v>
      </c>
      <c r="W56" s="290" t="s">
        <v>75</v>
      </c>
      <c r="X56" s="15">
        <f t="shared" si="12"/>
        <v>26</v>
      </c>
      <c r="Y56" s="234">
        <f t="shared" si="20"/>
        <v>0.5250000000000002</v>
      </c>
      <c r="Z56" s="230">
        <f t="shared" si="10"/>
        <v>0.6750000000000003</v>
      </c>
      <c r="AA56" s="366">
        <v>0.7</v>
      </c>
      <c r="AO56" t="s">
        <v>309</v>
      </c>
      <c r="AP56" t="s">
        <v>339</v>
      </c>
    </row>
    <row r="57" spans="1:42" ht="12.75">
      <c r="A57" s="295">
        <v>1.21</v>
      </c>
      <c r="B57" s="285">
        <v>1.11</v>
      </c>
      <c r="C57" s="314">
        <v>410</v>
      </c>
      <c r="D57" s="316">
        <f t="shared" si="13"/>
        <v>0.21000000000000005</v>
      </c>
      <c r="E57" s="314">
        <v>369</v>
      </c>
      <c r="F57" s="318">
        <v>0.21</v>
      </c>
      <c r="G57" s="295">
        <v>1966</v>
      </c>
      <c r="H57" s="298">
        <v>67</v>
      </c>
      <c r="I57" s="298">
        <v>0</v>
      </c>
      <c r="J57" s="291">
        <f t="shared" si="15"/>
        <v>67</v>
      </c>
      <c r="L57" s="221">
        <v>2003</v>
      </c>
      <c r="M57" s="275">
        <v>1922</v>
      </c>
      <c r="N57" s="275">
        <v>2032</v>
      </c>
      <c r="O57" s="267">
        <v>58.7</v>
      </c>
      <c r="P57" s="238">
        <f t="shared" si="5"/>
        <v>46</v>
      </c>
      <c r="Q57" s="241">
        <f t="shared" si="18"/>
        <v>211.47</v>
      </c>
      <c r="R57" s="240">
        <f t="shared" si="19"/>
        <v>422.94</v>
      </c>
      <c r="S57" s="252">
        <f>+'Update Tables'!Y$11</f>
        <v>220</v>
      </c>
      <c r="T57" s="253">
        <f t="shared" si="16"/>
        <v>440</v>
      </c>
      <c r="U57" s="253">
        <f t="shared" si="17"/>
        <v>138</v>
      </c>
      <c r="V57" s="251">
        <f>+'Update Tables'!AC$11</f>
        <v>94.41000000000001</v>
      </c>
      <c r="W57" s="290" t="s">
        <v>75</v>
      </c>
      <c r="X57" s="15">
        <f t="shared" si="12"/>
        <v>27</v>
      </c>
      <c r="Y57" s="234">
        <f t="shared" si="20"/>
        <v>0.5500000000000003</v>
      </c>
      <c r="Z57" s="230">
        <f t="shared" si="10"/>
        <v>0.7000000000000003</v>
      </c>
      <c r="AA57" s="366">
        <v>0.7</v>
      </c>
      <c r="AO57" t="s">
        <v>332</v>
      </c>
      <c r="AP57" t="s">
        <v>201</v>
      </c>
    </row>
    <row r="58" spans="1:42" ht="12.75">
      <c r="A58" s="295">
        <v>1.22</v>
      </c>
      <c r="B58" s="285">
        <v>1.11</v>
      </c>
      <c r="C58" s="314">
        <v>430</v>
      </c>
      <c r="D58" s="316">
        <f t="shared" si="13"/>
        <v>0.22000000000000006</v>
      </c>
      <c r="E58" s="314">
        <v>387</v>
      </c>
      <c r="F58" s="318">
        <v>0.22</v>
      </c>
      <c r="G58" s="295">
        <v>1967</v>
      </c>
      <c r="H58" s="298">
        <v>67</v>
      </c>
      <c r="I58" s="298">
        <v>0</v>
      </c>
      <c r="J58" s="291">
        <f t="shared" si="15"/>
        <v>67</v>
      </c>
      <c r="L58" s="221">
        <v>2004</v>
      </c>
      <c r="M58" s="275">
        <v>1962</v>
      </c>
      <c r="N58" s="275">
        <v>2083</v>
      </c>
      <c r="O58" s="267">
        <v>66.6</v>
      </c>
      <c r="P58" s="238">
        <f t="shared" si="5"/>
        <v>47</v>
      </c>
      <c r="Q58" s="241">
        <f t="shared" si="18"/>
        <v>211.47</v>
      </c>
      <c r="R58" s="240">
        <f t="shared" si="19"/>
        <v>422.94</v>
      </c>
      <c r="S58" s="252">
        <f>+'Update Tables'!Y$11</f>
        <v>220</v>
      </c>
      <c r="T58" s="253">
        <f t="shared" si="16"/>
        <v>440</v>
      </c>
      <c r="U58" s="253">
        <f t="shared" si="17"/>
        <v>138</v>
      </c>
      <c r="V58" s="251">
        <f>+'Update Tables'!AC$11</f>
        <v>94.41000000000001</v>
      </c>
      <c r="W58" s="290" t="s">
        <v>75</v>
      </c>
      <c r="X58" s="15">
        <f t="shared" si="12"/>
        <v>28</v>
      </c>
      <c r="Y58" s="234">
        <f t="shared" si="20"/>
        <v>0.5750000000000003</v>
      </c>
      <c r="Z58" s="230">
        <f t="shared" si="10"/>
        <v>0.7250000000000003</v>
      </c>
      <c r="AA58" s="366">
        <v>0.7</v>
      </c>
      <c r="AO58" t="s">
        <v>337</v>
      </c>
      <c r="AP58" t="s">
        <v>153</v>
      </c>
    </row>
    <row r="59" spans="1:42" ht="12.75">
      <c r="A59" s="295">
        <v>1.23</v>
      </c>
      <c r="B59" s="285">
        <v>1.12</v>
      </c>
      <c r="C59" s="314">
        <v>450</v>
      </c>
      <c r="D59" s="316">
        <f t="shared" si="13"/>
        <v>0.23000000000000007</v>
      </c>
      <c r="E59" s="314">
        <v>405</v>
      </c>
      <c r="F59" s="318">
        <v>0.23</v>
      </c>
      <c r="G59" s="295">
        <v>1968</v>
      </c>
      <c r="H59" s="298">
        <v>67</v>
      </c>
      <c r="I59" s="298">
        <v>0</v>
      </c>
      <c r="J59" s="291">
        <f t="shared" si="15"/>
        <v>67</v>
      </c>
      <c r="L59" s="221">
        <v>2005</v>
      </c>
      <c r="M59" s="275">
        <v>2026</v>
      </c>
      <c r="N59" s="275">
        <v>2135</v>
      </c>
      <c r="O59" s="267">
        <v>78.2</v>
      </c>
      <c r="P59" s="238">
        <f t="shared" si="5"/>
        <v>48</v>
      </c>
      <c r="Q59" s="241">
        <f t="shared" si="18"/>
        <v>211.47</v>
      </c>
      <c r="R59" s="240">
        <f t="shared" si="19"/>
        <v>422.94</v>
      </c>
      <c r="S59" s="252">
        <f>+'Update Tables'!Y$11</f>
        <v>220</v>
      </c>
      <c r="T59" s="253">
        <f t="shared" si="16"/>
        <v>440</v>
      </c>
      <c r="U59" s="253">
        <f t="shared" si="17"/>
        <v>138</v>
      </c>
      <c r="V59" s="251">
        <f>+'Update Tables'!AC$11</f>
        <v>94.41000000000001</v>
      </c>
      <c r="W59" s="290" t="s">
        <v>75</v>
      </c>
      <c r="X59" s="15">
        <f t="shared" si="12"/>
        <v>29</v>
      </c>
      <c r="Y59" s="234">
        <f t="shared" si="20"/>
        <v>0.6000000000000003</v>
      </c>
      <c r="Z59" s="230">
        <f t="shared" si="10"/>
        <v>0.7500000000000003</v>
      </c>
      <c r="AA59" s="366">
        <v>0.7</v>
      </c>
      <c r="AP59" t="s">
        <v>156</v>
      </c>
    </row>
    <row r="60" spans="1:42" ht="12.75">
      <c r="A60" s="295">
        <v>1.24</v>
      </c>
      <c r="B60" s="285">
        <v>1.13</v>
      </c>
      <c r="C60" s="314">
        <v>470</v>
      </c>
      <c r="D60" s="316">
        <f t="shared" si="13"/>
        <v>0.24000000000000007</v>
      </c>
      <c r="E60" s="314">
        <v>423</v>
      </c>
      <c r="F60" s="318">
        <v>0.24</v>
      </c>
      <c r="G60" s="295">
        <v>1969</v>
      </c>
      <c r="H60" s="298">
        <v>67</v>
      </c>
      <c r="I60" s="298">
        <v>0</v>
      </c>
      <c r="J60" s="291">
        <f t="shared" si="15"/>
        <v>67</v>
      </c>
      <c r="L60" s="221">
        <v>2006</v>
      </c>
      <c r="M60" s="275">
        <v>2077</v>
      </c>
      <c r="N60" s="275">
        <v>2188</v>
      </c>
      <c r="O60" s="267">
        <v>88.5</v>
      </c>
      <c r="P60" s="238">
        <f t="shared" si="5"/>
        <v>49</v>
      </c>
      <c r="Q60" s="241">
        <f t="shared" si="18"/>
        <v>211.47</v>
      </c>
      <c r="R60" s="240">
        <f t="shared" si="19"/>
        <v>422.94</v>
      </c>
      <c r="S60" s="252">
        <f>+'Update Tables'!Y$11</f>
        <v>220</v>
      </c>
      <c r="T60" s="253">
        <f t="shared" si="16"/>
        <v>440</v>
      </c>
      <c r="U60" s="253">
        <f t="shared" si="17"/>
        <v>138</v>
      </c>
      <c r="V60" s="251">
        <f>+'Update Tables'!AC$11</f>
        <v>94.41000000000001</v>
      </c>
      <c r="W60" s="290" t="s">
        <v>75</v>
      </c>
      <c r="X60" s="15">
        <f t="shared" si="12"/>
        <v>30</v>
      </c>
      <c r="Y60" s="234">
        <f t="shared" si="20"/>
        <v>0.6250000000000003</v>
      </c>
      <c r="Z60" s="230">
        <f t="shared" si="10"/>
        <v>0.7750000000000004</v>
      </c>
      <c r="AA60" s="366">
        <v>0.8</v>
      </c>
      <c r="AP60" t="s">
        <v>157</v>
      </c>
    </row>
    <row r="61" spans="1:42" ht="13.5" thickBot="1">
      <c r="A61" s="295">
        <v>1.25</v>
      </c>
      <c r="B61" s="285">
        <v>1.13</v>
      </c>
      <c r="C61" s="314">
        <v>490</v>
      </c>
      <c r="D61" s="316">
        <f t="shared" si="13"/>
        <v>0.25000000000000006</v>
      </c>
      <c r="E61" s="314">
        <v>441</v>
      </c>
      <c r="F61" s="318">
        <v>0.25</v>
      </c>
      <c r="G61" s="295">
        <v>1970</v>
      </c>
      <c r="H61" s="298">
        <v>67</v>
      </c>
      <c r="I61" s="298">
        <v>0</v>
      </c>
      <c r="J61" s="291">
        <f t="shared" si="15"/>
        <v>67</v>
      </c>
      <c r="L61" s="221">
        <v>2007</v>
      </c>
      <c r="M61" s="276">
        <v>2167</v>
      </c>
      <c r="N61" s="276">
        <v>2243</v>
      </c>
      <c r="O61" s="268">
        <v>93.5</v>
      </c>
      <c r="P61" s="239">
        <f t="shared" si="5"/>
        <v>50</v>
      </c>
      <c r="Q61" s="242">
        <f t="shared" si="18"/>
        <v>211.47</v>
      </c>
      <c r="R61" s="243">
        <f t="shared" si="19"/>
        <v>422.94</v>
      </c>
      <c r="S61" s="254">
        <f>+'Update Tables'!Y$11</f>
        <v>220</v>
      </c>
      <c r="T61" s="255">
        <f t="shared" si="16"/>
        <v>440</v>
      </c>
      <c r="U61" s="255">
        <f t="shared" si="17"/>
        <v>138</v>
      </c>
      <c r="V61" s="256">
        <f>+'Update Tables'!AC$11</f>
        <v>94.41000000000001</v>
      </c>
      <c r="W61" s="359" t="s">
        <v>75</v>
      </c>
      <c r="X61" s="15">
        <f t="shared" si="12"/>
        <v>31</v>
      </c>
      <c r="Y61" s="234">
        <f t="shared" si="20"/>
        <v>0.6500000000000004</v>
      </c>
      <c r="Z61" s="230">
        <f t="shared" si="10"/>
        <v>0.8000000000000004</v>
      </c>
      <c r="AA61" s="366">
        <v>0.8</v>
      </c>
      <c r="AP61" t="s">
        <v>158</v>
      </c>
    </row>
    <row r="62" spans="1:42" ht="13.5" thickBot="1">
      <c r="A62" s="295">
        <v>1.26</v>
      </c>
      <c r="B62" s="285">
        <v>1.14</v>
      </c>
      <c r="C62" s="314">
        <v>510</v>
      </c>
      <c r="D62" s="316">
        <f t="shared" si="13"/>
        <v>0.26000000000000006</v>
      </c>
      <c r="E62" s="314">
        <v>459</v>
      </c>
      <c r="F62" s="318">
        <v>0.26</v>
      </c>
      <c r="G62" s="295">
        <v>1971</v>
      </c>
      <c r="H62" s="298">
        <v>67</v>
      </c>
      <c r="I62" s="298">
        <v>0</v>
      </c>
      <c r="J62" s="291">
        <f t="shared" si="15"/>
        <v>67</v>
      </c>
      <c r="L62" s="221">
        <v>2008</v>
      </c>
      <c r="M62" s="276">
        <v>2225</v>
      </c>
      <c r="N62" s="276">
        <v>2299</v>
      </c>
      <c r="O62" s="268">
        <v>96.4</v>
      </c>
      <c r="X62" s="15">
        <f t="shared" si="12"/>
        <v>32</v>
      </c>
      <c r="Y62" s="234">
        <f t="shared" si="20"/>
        <v>0.6750000000000004</v>
      </c>
      <c r="Z62" s="230">
        <f t="shared" si="10"/>
        <v>0.8250000000000004</v>
      </c>
      <c r="AA62" s="366">
        <v>0.8</v>
      </c>
      <c r="AP62" t="s">
        <v>159</v>
      </c>
    </row>
    <row r="63" spans="1:42" ht="13.5" thickBot="1">
      <c r="A63" s="295">
        <v>1.27</v>
      </c>
      <c r="B63" s="285">
        <v>1.15</v>
      </c>
      <c r="C63" s="314">
        <v>530</v>
      </c>
      <c r="D63" s="316">
        <f t="shared" si="13"/>
        <v>0.2700000000000001</v>
      </c>
      <c r="E63" s="314">
        <v>477</v>
      </c>
      <c r="F63" s="318">
        <v>0.27</v>
      </c>
      <c r="G63" s="295">
        <v>1972</v>
      </c>
      <c r="H63" s="298">
        <v>67</v>
      </c>
      <c r="I63" s="298">
        <v>0</v>
      </c>
      <c r="J63" s="291">
        <f t="shared" si="15"/>
        <v>67</v>
      </c>
      <c r="L63" s="221">
        <v>2009</v>
      </c>
      <c r="M63" s="274">
        <v>2225</v>
      </c>
      <c r="N63" s="274">
        <v>2356</v>
      </c>
      <c r="O63" s="269">
        <v>96.4</v>
      </c>
      <c r="P63" s="533" t="s">
        <v>390</v>
      </c>
      <c r="Q63" s="535"/>
      <c r="R63" s="355">
        <v>206.31</v>
      </c>
      <c r="X63" s="15">
        <f t="shared" si="12"/>
        <v>33</v>
      </c>
      <c r="Y63" s="234">
        <f t="shared" si="20"/>
        <v>0.7000000000000004</v>
      </c>
      <c r="Z63" s="230">
        <f t="shared" si="10"/>
        <v>0.8500000000000004</v>
      </c>
      <c r="AA63" s="366">
        <v>0.8</v>
      </c>
      <c r="AN63" s="3" t="s">
        <v>160</v>
      </c>
      <c r="AO63" t="s">
        <v>337</v>
      </c>
      <c r="AP63" t="s">
        <v>161</v>
      </c>
    </row>
    <row r="64" spans="1:42" ht="12.75">
      <c r="A64" s="295">
        <v>1.28</v>
      </c>
      <c r="B64" s="285">
        <v>1.15</v>
      </c>
      <c r="C64" s="314">
        <v>550</v>
      </c>
      <c r="D64" s="316">
        <f t="shared" si="13"/>
        <v>0.2800000000000001</v>
      </c>
      <c r="E64" s="314">
        <v>495</v>
      </c>
      <c r="F64" s="318">
        <v>0.28</v>
      </c>
      <c r="G64" s="295">
        <v>1973</v>
      </c>
      <c r="H64" s="298">
        <v>67</v>
      </c>
      <c r="I64" s="298">
        <v>0</v>
      </c>
      <c r="J64" s="291">
        <f t="shared" si="15"/>
        <v>67</v>
      </c>
      <c r="L64" s="221">
        <v>2010</v>
      </c>
      <c r="M64" s="274">
        <v>2225</v>
      </c>
      <c r="N64" s="274">
        <v>2415</v>
      </c>
      <c r="O64" s="269">
        <v>96.4</v>
      </c>
      <c r="Q64" s="131" t="s">
        <v>392</v>
      </c>
      <c r="X64" s="15">
        <f t="shared" si="12"/>
        <v>34</v>
      </c>
      <c r="Y64" s="234">
        <f t="shared" si="20"/>
        <v>0.7250000000000004</v>
      </c>
      <c r="Z64" s="230">
        <f t="shared" si="10"/>
        <v>0.8750000000000004</v>
      </c>
      <c r="AA64" s="366">
        <v>0.8</v>
      </c>
      <c r="AN64">
        <v>10.93</v>
      </c>
      <c r="AO64" t="s">
        <v>330</v>
      </c>
      <c r="AP64" t="s">
        <v>111</v>
      </c>
    </row>
    <row r="65" spans="1:42" ht="12.75">
      <c r="A65" s="295">
        <v>1.29</v>
      </c>
      <c r="B65" s="285">
        <v>1.16</v>
      </c>
      <c r="C65" s="314">
        <v>570</v>
      </c>
      <c r="D65" s="316">
        <f t="shared" si="13"/>
        <v>0.2900000000000001</v>
      </c>
      <c r="E65" s="314">
        <v>513</v>
      </c>
      <c r="F65" s="318">
        <f>+F64+0.01</f>
        <v>0.29000000000000004</v>
      </c>
      <c r="G65" s="295">
        <v>1974</v>
      </c>
      <c r="H65" s="298">
        <v>67</v>
      </c>
      <c r="I65" s="298">
        <v>0</v>
      </c>
      <c r="J65" s="291">
        <f t="shared" si="15"/>
        <v>67</v>
      </c>
      <c r="L65" s="221">
        <v>2011</v>
      </c>
      <c r="M65" s="274">
        <v>2225</v>
      </c>
      <c r="N65" s="274">
        <v>2475</v>
      </c>
      <c r="O65" s="270">
        <v>96.4</v>
      </c>
      <c r="X65" s="15">
        <f t="shared" si="12"/>
        <v>35</v>
      </c>
      <c r="Y65" s="234">
        <f t="shared" si="20"/>
        <v>0.7500000000000004</v>
      </c>
      <c r="Z65" s="230">
        <f t="shared" si="10"/>
        <v>0.9000000000000005</v>
      </c>
      <c r="AA65" s="366">
        <v>0.9</v>
      </c>
      <c r="AO65" t="s">
        <v>337</v>
      </c>
      <c r="AP65" t="s">
        <v>313</v>
      </c>
    </row>
    <row r="66" spans="1:42" ht="12.75">
      <c r="A66" s="295">
        <v>1.3</v>
      </c>
      <c r="B66" s="285">
        <v>1.17</v>
      </c>
      <c r="C66" s="314">
        <v>590</v>
      </c>
      <c r="D66" s="316">
        <f t="shared" si="13"/>
        <v>0.3000000000000001</v>
      </c>
      <c r="E66" s="314">
        <v>531</v>
      </c>
      <c r="F66" s="318">
        <f aca="true" t="shared" si="21" ref="F66:F129">+F65+0.01</f>
        <v>0.30000000000000004</v>
      </c>
      <c r="G66" s="295">
        <v>1975</v>
      </c>
      <c r="H66" s="298">
        <v>67</v>
      </c>
      <c r="I66" s="298">
        <v>0</v>
      </c>
      <c r="J66" s="291">
        <f t="shared" si="15"/>
        <v>67</v>
      </c>
      <c r="L66" s="221">
        <v>2012</v>
      </c>
      <c r="M66" s="277">
        <v>2277</v>
      </c>
      <c r="N66" s="277">
        <v>2537</v>
      </c>
      <c r="O66" s="270">
        <v>99.9</v>
      </c>
      <c r="X66" s="15">
        <f t="shared" si="12"/>
        <v>36</v>
      </c>
      <c r="Y66" s="234">
        <v>0.75</v>
      </c>
      <c r="Z66" s="230">
        <v>0.9</v>
      </c>
      <c r="AA66" s="366">
        <v>0.9</v>
      </c>
      <c r="AP66" t="s">
        <v>314</v>
      </c>
    </row>
    <row r="67" spans="1:42" ht="12.75">
      <c r="A67" s="295">
        <v>1.31</v>
      </c>
      <c r="B67" s="285">
        <v>1.17</v>
      </c>
      <c r="C67" s="314">
        <v>610</v>
      </c>
      <c r="D67" s="316">
        <f t="shared" si="13"/>
        <v>0.3100000000000001</v>
      </c>
      <c r="E67" s="314">
        <v>549</v>
      </c>
      <c r="F67" s="318">
        <f t="shared" si="21"/>
        <v>0.31000000000000005</v>
      </c>
      <c r="G67" s="295">
        <v>1976</v>
      </c>
      <c r="H67" s="298">
        <v>67</v>
      </c>
      <c r="I67" s="298">
        <v>0</v>
      </c>
      <c r="J67" s="291">
        <f t="shared" si="15"/>
        <v>67</v>
      </c>
      <c r="L67" s="221">
        <v>2013</v>
      </c>
      <c r="M67" s="277">
        <v>2316</v>
      </c>
      <c r="N67" s="277">
        <v>2600</v>
      </c>
      <c r="O67" s="270">
        <v>104.9</v>
      </c>
      <c r="X67" s="15">
        <f t="shared" si="12"/>
        <v>37</v>
      </c>
      <c r="Y67" s="234">
        <v>0.75</v>
      </c>
      <c r="Z67" s="230">
        <v>0.9</v>
      </c>
      <c r="AA67" s="366">
        <v>0.9</v>
      </c>
      <c r="AP67" t="s">
        <v>315</v>
      </c>
    </row>
    <row r="68" spans="1:42" ht="12.75">
      <c r="A68" s="295">
        <v>1.32</v>
      </c>
      <c r="B68" s="285">
        <v>1.18</v>
      </c>
      <c r="C68" s="314">
        <v>630</v>
      </c>
      <c r="D68" s="316">
        <f t="shared" si="13"/>
        <v>0.3200000000000001</v>
      </c>
      <c r="E68" s="314">
        <v>567</v>
      </c>
      <c r="F68" s="318">
        <f t="shared" si="21"/>
        <v>0.32000000000000006</v>
      </c>
      <c r="G68" s="295">
        <v>1977</v>
      </c>
      <c r="H68" s="298">
        <v>67</v>
      </c>
      <c r="I68" s="298">
        <v>0</v>
      </c>
      <c r="J68" s="291">
        <f t="shared" si="15"/>
        <v>67</v>
      </c>
      <c r="L68" s="221">
        <v>2014</v>
      </c>
      <c r="M68" s="277">
        <v>2339</v>
      </c>
      <c r="N68" s="277">
        <v>2665</v>
      </c>
      <c r="O68" s="398">
        <v>104.9</v>
      </c>
      <c r="X68" s="15">
        <f t="shared" si="12"/>
        <v>38</v>
      </c>
      <c r="Y68" s="234">
        <v>0.75</v>
      </c>
      <c r="Z68" s="230">
        <v>0.9</v>
      </c>
      <c r="AA68" s="366">
        <v>0.9</v>
      </c>
      <c r="AP68" t="s">
        <v>316</v>
      </c>
    </row>
    <row r="69" spans="1:42" ht="13.5" thickBot="1">
      <c r="A69" s="295">
        <v>1.33</v>
      </c>
      <c r="B69" s="285">
        <v>1.19</v>
      </c>
      <c r="C69" s="314">
        <v>650</v>
      </c>
      <c r="D69" s="316">
        <f t="shared" si="13"/>
        <v>0.3300000000000001</v>
      </c>
      <c r="E69" s="314">
        <v>585</v>
      </c>
      <c r="F69" s="318">
        <f t="shared" si="21"/>
        <v>0.33000000000000007</v>
      </c>
      <c r="G69" s="295">
        <v>1978</v>
      </c>
      <c r="H69" s="298">
        <v>67</v>
      </c>
      <c r="I69" s="298">
        <v>0</v>
      </c>
      <c r="J69" s="291">
        <f t="shared" si="15"/>
        <v>67</v>
      </c>
      <c r="L69" s="399">
        <v>2015</v>
      </c>
      <c r="M69" s="278">
        <v>2388</v>
      </c>
      <c r="N69" s="278">
        <v>2732</v>
      </c>
      <c r="O69" s="395">
        <v>104.9</v>
      </c>
      <c r="X69" s="15">
        <f t="shared" si="12"/>
        <v>39</v>
      </c>
      <c r="Y69" s="234">
        <v>0.75</v>
      </c>
      <c r="Z69" s="230">
        <v>0.9</v>
      </c>
      <c r="AA69" s="366">
        <v>0.9</v>
      </c>
      <c r="AP69" t="s">
        <v>326</v>
      </c>
    </row>
    <row r="70" spans="1:42" ht="12.75">
      <c r="A70" s="295">
        <v>1.34</v>
      </c>
      <c r="B70" s="285">
        <v>1.19</v>
      </c>
      <c r="C70" s="314">
        <v>670</v>
      </c>
      <c r="D70" s="316">
        <f t="shared" si="13"/>
        <v>0.34000000000000014</v>
      </c>
      <c r="E70" s="314">
        <v>603</v>
      </c>
      <c r="F70" s="318">
        <f t="shared" si="21"/>
        <v>0.3400000000000001</v>
      </c>
      <c r="G70" s="295">
        <v>1979</v>
      </c>
      <c r="H70" s="298">
        <v>67</v>
      </c>
      <c r="I70" s="298">
        <v>0</v>
      </c>
      <c r="J70" s="291">
        <f t="shared" si="15"/>
        <v>67</v>
      </c>
      <c r="X70" s="15">
        <f t="shared" si="12"/>
        <v>40</v>
      </c>
      <c r="Y70" s="234">
        <v>0.75</v>
      </c>
      <c r="Z70" s="230">
        <v>0.9</v>
      </c>
      <c r="AA70" s="366">
        <v>0.9</v>
      </c>
      <c r="AN70">
        <v>11</v>
      </c>
      <c r="AO70" t="s">
        <v>309</v>
      </c>
      <c r="AP70" t="s">
        <v>325</v>
      </c>
    </row>
    <row r="71" spans="1:42" ht="13.5" thickBot="1">
      <c r="A71" s="295">
        <v>1.35</v>
      </c>
      <c r="B71" s="285">
        <v>1.2</v>
      </c>
      <c r="C71" s="314">
        <v>690</v>
      </c>
      <c r="D71" s="316">
        <f t="shared" si="13"/>
        <v>0.35000000000000014</v>
      </c>
      <c r="E71" s="314">
        <v>621</v>
      </c>
      <c r="F71" s="318">
        <f t="shared" si="21"/>
        <v>0.3500000000000001</v>
      </c>
      <c r="G71" s="296">
        <v>1980</v>
      </c>
      <c r="H71" s="299">
        <v>67</v>
      </c>
      <c r="I71" s="299">
        <v>0</v>
      </c>
      <c r="J71" s="292">
        <f t="shared" si="15"/>
        <v>67</v>
      </c>
      <c r="X71" s="15">
        <f t="shared" si="12"/>
        <v>41</v>
      </c>
      <c r="Y71" s="234">
        <v>0.75</v>
      </c>
      <c r="Z71" s="230">
        <v>0.9</v>
      </c>
      <c r="AA71" s="366">
        <v>0.9</v>
      </c>
      <c r="AN71">
        <v>11</v>
      </c>
      <c r="AO71" t="s">
        <v>306</v>
      </c>
      <c r="AP71" t="s">
        <v>324</v>
      </c>
    </row>
    <row r="72" spans="1:42" ht="13.5" thickBot="1">
      <c r="A72" s="295">
        <v>1.36</v>
      </c>
      <c r="B72" s="285">
        <v>1.21</v>
      </c>
      <c r="C72" s="314">
        <v>710</v>
      </c>
      <c r="D72" s="316">
        <f t="shared" si="13"/>
        <v>0.36000000000000015</v>
      </c>
      <c r="E72" s="314">
        <v>639</v>
      </c>
      <c r="F72" s="318">
        <f t="shared" si="21"/>
        <v>0.3600000000000001</v>
      </c>
      <c r="X72" s="15">
        <f t="shared" si="12"/>
        <v>42</v>
      </c>
      <c r="Y72" s="234">
        <v>0.75</v>
      </c>
      <c r="Z72" s="230">
        <v>0.9</v>
      </c>
      <c r="AA72" s="366">
        <v>0.9</v>
      </c>
      <c r="AN72">
        <v>11.1</v>
      </c>
      <c r="AO72" t="s">
        <v>180</v>
      </c>
      <c r="AP72" t="s">
        <v>181</v>
      </c>
    </row>
    <row r="73" spans="1:42" ht="13.5" thickBot="1">
      <c r="A73" s="295">
        <v>1.37</v>
      </c>
      <c r="B73" s="285">
        <v>1.21</v>
      </c>
      <c r="C73" s="314">
        <v>730</v>
      </c>
      <c r="D73" s="316">
        <f t="shared" si="13"/>
        <v>0.37000000000000016</v>
      </c>
      <c r="E73" s="314">
        <v>657</v>
      </c>
      <c r="F73" s="51">
        <f t="shared" si="21"/>
        <v>0.3700000000000001</v>
      </c>
      <c r="G73" s="113" t="s">
        <v>308</v>
      </c>
      <c r="H73" s="393">
        <v>1200</v>
      </c>
      <c r="I73" s="113" t="s">
        <v>203</v>
      </c>
      <c r="J73" s="393">
        <v>1600</v>
      </c>
      <c r="K73" s="113" t="s">
        <v>204</v>
      </c>
      <c r="L73" s="393">
        <v>1000</v>
      </c>
      <c r="X73" s="15">
        <f t="shared" si="12"/>
        <v>43</v>
      </c>
      <c r="Y73" s="234">
        <v>0.75</v>
      </c>
      <c r="Z73" s="230">
        <v>0.9</v>
      </c>
      <c r="AA73" s="366">
        <v>0.9</v>
      </c>
      <c r="AP73" t="s">
        <v>182</v>
      </c>
    </row>
    <row r="74" spans="1:42" ht="12.75">
      <c r="A74" s="295">
        <v>1.38</v>
      </c>
      <c r="B74" s="285">
        <v>1.22</v>
      </c>
      <c r="C74" s="314">
        <v>750</v>
      </c>
      <c r="D74" s="316">
        <f t="shared" si="13"/>
        <v>0.38000000000000017</v>
      </c>
      <c r="E74" s="314">
        <v>675</v>
      </c>
      <c r="F74" s="51">
        <f t="shared" si="21"/>
        <v>0.3800000000000001</v>
      </c>
      <c r="G74" s="312">
        <v>0</v>
      </c>
      <c r="H74" s="320">
        <v>0</v>
      </c>
      <c r="I74" s="295">
        <v>0</v>
      </c>
      <c r="J74" s="320">
        <v>0</v>
      </c>
      <c r="K74" s="295">
        <v>0</v>
      </c>
      <c r="L74" s="320">
        <v>0</v>
      </c>
      <c r="X74" s="15">
        <f t="shared" si="12"/>
        <v>44</v>
      </c>
      <c r="Y74" s="234">
        <v>0.75</v>
      </c>
      <c r="Z74" s="230">
        <v>0.9</v>
      </c>
      <c r="AA74" s="366">
        <v>0.9</v>
      </c>
      <c r="AP74" t="s">
        <v>183</v>
      </c>
    </row>
    <row r="75" spans="1:42" ht="13.5" thickBot="1">
      <c r="A75" s="295">
        <v>1.39</v>
      </c>
      <c r="B75" s="285">
        <v>1.23</v>
      </c>
      <c r="C75" s="314">
        <v>770</v>
      </c>
      <c r="D75" s="316">
        <f t="shared" si="13"/>
        <v>0.3900000000000002</v>
      </c>
      <c r="E75" s="314">
        <v>693</v>
      </c>
      <c r="F75" s="51">
        <f t="shared" si="21"/>
        <v>0.3900000000000001</v>
      </c>
      <c r="G75" s="295">
        <f>G74+12</f>
        <v>12</v>
      </c>
      <c r="H75" s="318">
        <f>+H74+0.01</f>
        <v>0.01</v>
      </c>
      <c r="I75" s="295">
        <f>I74+16</f>
        <v>16</v>
      </c>
      <c r="J75" s="318">
        <f>+J74+0.01</f>
        <v>0.01</v>
      </c>
      <c r="K75" s="295">
        <f>K74+10</f>
        <v>10</v>
      </c>
      <c r="L75" s="318">
        <f>+L74+0.01</f>
        <v>0.01</v>
      </c>
      <c r="X75" s="17">
        <f t="shared" si="12"/>
        <v>45</v>
      </c>
      <c r="Y75" s="236">
        <v>0.75</v>
      </c>
      <c r="Z75" s="231">
        <v>0.9</v>
      </c>
      <c r="AA75" s="367">
        <v>0.9</v>
      </c>
      <c r="AP75" t="s">
        <v>184</v>
      </c>
    </row>
    <row r="76" spans="1:42" ht="12.75">
      <c r="A76" s="295">
        <v>1.4</v>
      </c>
      <c r="B76" s="285">
        <v>1.23</v>
      </c>
      <c r="C76" s="314">
        <v>790</v>
      </c>
      <c r="D76" s="316">
        <f t="shared" si="13"/>
        <v>0.4000000000000002</v>
      </c>
      <c r="E76" s="314">
        <v>711</v>
      </c>
      <c r="F76" s="51">
        <f t="shared" si="21"/>
        <v>0.40000000000000013</v>
      </c>
      <c r="G76" s="295">
        <f aca="true" t="shared" si="22" ref="G76:G139">G75+12</f>
        <v>24</v>
      </c>
      <c r="H76" s="318">
        <f aca="true" t="shared" si="23" ref="H76:H139">+H75+0.01</f>
        <v>0.02</v>
      </c>
      <c r="I76" s="295">
        <f aca="true" t="shared" si="24" ref="I76:I139">I75+16</f>
        <v>32</v>
      </c>
      <c r="J76" s="318">
        <f aca="true" t="shared" si="25" ref="J76:J139">+J75+0.01</f>
        <v>0.02</v>
      </c>
      <c r="K76" s="295">
        <f aca="true" t="shared" si="26" ref="K76:K139">K75+10</f>
        <v>20</v>
      </c>
      <c r="L76" s="318">
        <f aca="true" t="shared" si="27" ref="L76:L139">+L75+0.01</f>
        <v>0.02</v>
      </c>
      <c r="AP76" t="s">
        <v>185</v>
      </c>
    </row>
    <row r="77" spans="1:42" ht="12.75">
      <c r="A77" s="295">
        <v>1.41</v>
      </c>
      <c r="B77" s="285">
        <v>1.24</v>
      </c>
      <c r="C77" s="314">
        <v>810</v>
      </c>
      <c r="D77" s="316">
        <f t="shared" si="13"/>
        <v>0.4100000000000002</v>
      </c>
      <c r="E77" s="314">
        <v>729</v>
      </c>
      <c r="F77" s="51">
        <f t="shared" si="21"/>
        <v>0.41000000000000014</v>
      </c>
      <c r="G77" s="295">
        <f t="shared" si="22"/>
        <v>36</v>
      </c>
      <c r="H77" s="318">
        <f t="shared" si="23"/>
        <v>0.03</v>
      </c>
      <c r="I77" s="295">
        <f t="shared" si="24"/>
        <v>48</v>
      </c>
      <c r="J77" s="318">
        <f t="shared" si="25"/>
        <v>0.03</v>
      </c>
      <c r="K77" s="295">
        <f t="shared" si="26"/>
        <v>30</v>
      </c>
      <c r="L77" s="318">
        <f t="shared" si="27"/>
        <v>0.03</v>
      </c>
      <c r="AP77" t="s">
        <v>186</v>
      </c>
    </row>
    <row r="78" spans="1:42" ht="12.75">
      <c r="A78" s="295">
        <v>1.42</v>
      </c>
      <c r="B78" s="285">
        <v>1.25</v>
      </c>
      <c r="C78" s="314">
        <v>830</v>
      </c>
      <c r="D78" s="316">
        <f t="shared" si="13"/>
        <v>0.4200000000000002</v>
      </c>
      <c r="E78" s="314">
        <v>747</v>
      </c>
      <c r="F78" s="51">
        <f t="shared" si="21"/>
        <v>0.42000000000000015</v>
      </c>
      <c r="G78" s="295">
        <f t="shared" si="22"/>
        <v>48</v>
      </c>
      <c r="H78" s="318">
        <f t="shared" si="23"/>
        <v>0.04</v>
      </c>
      <c r="I78" s="295">
        <f t="shared" si="24"/>
        <v>64</v>
      </c>
      <c r="J78" s="318">
        <f t="shared" si="25"/>
        <v>0.04</v>
      </c>
      <c r="K78" s="295">
        <f t="shared" si="26"/>
        <v>40</v>
      </c>
      <c r="L78" s="318">
        <f t="shared" si="27"/>
        <v>0.04</v>
      </c>
      <c r="AP78" t="s">
        <v>187</v>
      </c>
    </row>
    <row r="79" spans="1:42" ht="12.75">
      <c r="A79" s="295">
        <v>1.43</v>
      </c>
      <c r="B79" s="285">
        <v>1.25</v>
      </c>
      <c r="C79" s="314">
        <v>850</v>
      </c>
      <c r="D79" s="316">
        <f t="shared" si="13"/>
        <v>0.4300000000000002</v>
      </c>
      <c r="E79" s="314">
        <v>765</v>
      </c>
      <c r="F79" s="51">
        <f t="shared" si="21"/>
        <v>0.43000000000000016</v>
      </c>
      <c r="G79" s="295">
        <f t="shared" si="22"/>
        <v>60</v>
      </c>
      <c r="H79" s="318">
        <f t="shared" si="23"/>
        <v>0.05</v>
      </c>
      <c r="I79" s="295">
        <f t="shared" si="24"/>
        <v>80</v>
      </c>
      <c r="J79" s="318">
        <f t="shared" si="25"/>
        <v>0.05</v>
      </c>
      <c r="K79" s="295">
        <f t="shared" si="26"/>
        <v>50</v>
      </c>
      <c r="L79" s="318">
        <f t="shared" si="27"/>
        <v>0.05</v>
      </c>
      <c r="AP79" t="s">
        <v>58</v>
      </c>
    </row>
    <row r="80" spans="1:42" ht="12.75">
      <c r="A80" s="295">
        <v>1.44</v>
      </c>
      <c r="B80" s="285">
        <v>1.26</v>
      </c>
      <c r="C80" s="314">
        <v>870</v>
      </c>
      <c r="D80" s="316">
        <f t="shared" si="13"/>
        <v>0.4400000000000002</v>
      </c>
      <c r="E80" s="314">
        <v>783</v>
      </c>
      <c r="F80" s="51">
        <f t="shared" si="21"/>
        <v>0.44000000000000017</v>
      </c>
      <c r="G80" s="295">
        <f t="shared" si="22"/>
        <v>72</v>
      </c>
      <c r="H80" s="318">
        <f t="shared" si="23"/>
        <v>0.060000000000000005</v>
      </c>
      <c r="I80" s="295">
        <f t="shared" si="24"/>
        <v>96</v>
      </c>
      <c r="J80" s="318">
        <f t="shared" si="25"/>
        <v>0.060000000000000005</v>
      </c>
      <c r="K80" s="295">
        <f t="shared" si="26"/>
        <v>60</v>
      </c>
      <c r="L80" s="318">
        <f t="shared" si="27"/>
        <v>0.060000000000000005</v>
      </c>
      <c r="AP80" t="s">
        <v>59</v>
      </c>
    </row>
    <row r="81" spans="1:42" ht="12.75">
      <c r="A81" s="295">
        <v>1.45</v>
      </c>
      <c r="B81" s="285">
        <v>1.27</v>
      </c>
      <c r="C81" s="314">
        <v>890</v>
      </c>
      <c r="D81" s="316">
        <f t="shared" si="13"/>
        <v>0.45000000000000023</v>
      </c>
      <c r="E81" s="314">
        <v>801</v>
      </c>
      <c r="F81" s="51">
        <f t="shared" si="21"/>
        <v>0.4500000000000002</v>
      </c>
      <c r="G81" s="295">
        <f t="shared" si="22"/>
        <v>84</v>
      </c>
      <c r="H81" s="318">
        <f t="shared" si="23"/>
        <v>0.07</v>
      </c>
      <c r="I81" s="295">
        <f t="shared" si="24"/>
        <v>112</v>
      </c>
      <c r="J81" s="318">
        <f t="shared" si="25"/>
        <v>0.07</v>
      </c>
      <c r="K81" s="295">
        <f t="shared" si="26"/>
        <v>70</v>
      </c>
      <c r="L81" s="318">
        <f t="shared" si="27"/>
        <v>0.07</v>
      </c>
      <c r="AP81" t="s">
        <v>61</v>
      </c>
    </row>
    <row r="82" spans="1:42" ht="12.75">
      <c r="A82" s="295">
        <v>1.46</v>
      </c>
      <c r="B82" s="285">
        <v>1.27</v>
      </c>
      <c r="C82" s="314">
        <v>910</v>
      </c>
      <c r="D82" s="316">
        <f t="shared" si="13"/>
        <v>0.46000000000000024</v>
      </c>
      <c r="E82" s="314">
        <v>819</v>
      </c>
      <c r="F82" s="51">
        <f t="shared" si="21"/>
        <v>0.4600000000000002</v>
      </c>
      <c r="G82" s="295">
        <f t="shared" si="22"/>
        <v>96</v>
      </c>
      <c r="H82" s="318">
        <f t="shared" si="23"/>
        <v>0.08</v>
      </c>
      <c r="I82" s="295">
        <f t="shared" si="24"/>
        <v>128</v>
      </c>
      <c r="J82" s="318">
        <f t="shared" si="25"/>
        <v>0.08</v>
      </c>
      <c r="K82" s="295">
        <f t="shared" si="26"/>
        <v>80</v>
      </c>
      <c r="L82" s="318">
        <f t="shared" si="27"/>
        <v>0.08</v>
      </c>
      <c r="AP82" t="s">
        <v>62</v>
      </c>
    </row>
    <row r="83" spans="1:42" ht="12.75">
      <c r="A83" s="295">
        <v>1.47</v>
      </c>
      <c r="B83" s="285">
        <v>1.28</v>
      </c>
      <c r="C83" s="314">
        <v>930</v>
      </c>
      <c r="D83" s="316">
        <f t="shared" si="13"/>
        <v>0.47000000000000025</v>
      </c>
      <c r="E83" s="314">
        <v>837</v>
      </c>
      <c r="F83" s="51">
        <f t="shared" si="21"/>
        <v>0.4700000000000002</v>
      </c>
      <c r="G83" s="295">
        <f t="shared" si="22"/>
        <v>108</v>
      </c>
      <c r="H83" s="318">
        <f t="shared" si="23"/>
        <v>0.09</v>
      </c>
      <c r="I83" s="295">
        <f t="shared" si="24"/>
        <v>144</v>
      </c>
      <c r="J83" s="318">
        <f t="shared" si="25"/>
        <v>0.09</v>
      </c>
      <c r="K83" s="295">
        <f t="shared" si="26"/>
        <v>90</v>
      </c>
      <c r="L83" s="318">
        <f t="shared" si="27"/>
        <v>0.09</v>
      </c>
      <c r="AP83" t="s">
        <v>60</v>
      </c>
    </row>
    <row r="84" spans="1:42" ht="12.75">
      <c r="A84" s="295">
        <v>1.48</v>
      </c>
      <c r="B84" s="285">
        <v>1.29</v>
      </c>
      <c r="C84" s="314">
        <v>950</v>
      </c>
      <c r="D84" s="316">
        <f t="shared" si="13"/>
        <v>0.48000000000000026</v>
      </c>
      <c r="E84" s="314">
        <v>855</v>
      </c>
      <c r="F84" s="51">
        <f t="shared" si="21"/>
        <v>0.4800000000000002</v>
      </c>
      <c r="G84" s="295">
        <f t="shared" si="22"/>
        <v>120</v>
      </c>
      <c r="H84" s="318">
        <f t="shared" si="23"/>
        <v>0.09999999999999999</v>
      </c>
      <c r="I84" s="295">
        <f t="shared" si="24"/>
        <v>160</v>
      </c>
      <c r="J84" s="318">
        <f t="shared" si="25"/>
        <v>0.09999999999999999</v>
      </c>
      <c r="K84" s="295">
        <f t="shared" si="26"/>
        <v>100</v>
      </c>
      <c r="L84" s="318">
        <f t="shared" si="27"/>
        <v>0.09999999999999999</v>
      </c>
      <c r="AN84">
        <v>11.2</v>
      </c>
      <c r="AO84" t="s">
        <v>309</v>
      </c>
      <c r="AP84" t="s">
        <v>225</v>
      </c>
    </row>
    <row r="85" spans="1:42" ht="12.75">
      <c r="A85" s="295">
        <v>1.49</v>
      </c>
      <c r="B85" s="285">
        <v>1.29</v>
      </c>
      <c r="C85" s="314">
        <v>970</v>
      </c>
      <c r="D85" s="316">
        <f t="shared" si="13"/>
        <v>0.49000000000000027</v>
      </c>
      <c r="E85" s="314">
        <v>873</v>
      </c>
      <c r="F85" s="51">
        <f t="shared" si="21"/>
        <v>0.4900000000000002</v>
      </c>
      <c r="G85" s="295">
        <f t="shared" si="22"/>
        <v>132</v>
      </c>
      <c r="H85" s="318">
        <f t="shared" si="23"/>
        <v>0.10999999999999999</v>
      </c>
      <c r="I85" s="295">
        <f t="shared" si="24"/>
        <v>176</v>
      </c>
      <c r="J85" s="318">
        <f t="shared" si="25"/>
        <v>0.10999999999999999</v>
      </c>
      <c r="K85" s="295">
        <f t="shared" si="26"/>
        <v>110</v>
      </c>
      <c r="L85" s="318">
        <f t="shared" si="27"/>
        <v>0.10999999999999999</v>
      </c>
      <c r="AN85">
        <v>11.3</v>
      </c>
      <c r="AO85" t="s">
        <v>180</v>
      </c>
      <c r="AP85" t="s">
        <v>193</v>
      </c>
    </row>
    <row r="86" spans="1:42" ht="12.75">
      <c r="A86" s="295">
        <v>1.5</v>
      </c>
      <c r="B86" s="285">
        <v>1.3</v>
      </c>
      <c r="C86" s="314">
        <v>1000</v>
      </c>
      <c r="D86" s="316">
        <f t="shared" si="13"/>
        <v>0.5000000000000002</v>
      </c>
      <c r="E86" s="314">
        <v>900</v>
      </c>
      <c r="F86" s="51">
        <f t="shared" si="21"/>
        <v>0.5000000000000002</v>
      </c>
      <c r="G86" s="295">
        <f t="shared" si="22"/>
        <v>144</v>
      </c>
      <c r="H86" s="318">
        <f t="shared" si="23"/>
        <v>0.11999999999999998</v>
      </c>
      <c r="I86" s="295">
        <f t="shared" si="24"/>
        <v>192</v>
      </c>
      <c r="J86" s="318">
        <f t="shared" si="25"/>
        <v>0.11999999999999998</v>
      </c>
      <c r="K86" s="295">
        <f t="shared" si="26"/>
        <v>120</v>
      </c>
      <c r="L86" s="318">
        <f t="shared" si="27"/>
        <v>0.11999999999999998</v>
      </c>
      <c r="AP86" t="s">
        <v>194</v>
      </c>
    </row>
    <row r="87" spans="1:42" ht="12.75">
      <c r="A87" s="295">
        <v>1.51</v>
      </c>
      <c r="B87" s="285">
        <v>1.32</v>
      </c>
      <c r="C87" s="314">
        <v>1010</v>
      </c>
      <c r="D87" s="316">
        <f t="shared" si="13"/>
        <v>0.5100000000000002</v>
      </c>
      <c r="E87" s="314">
        <v>908</v>
      </c>
      <c r="F87" s="51">
        <f t="shared" si="21"/>
        <v>0.5100000000000002</v>
      </c>
      <c r="G87" s="295">
        <f t="shared" si="22"/>
        <v>156</v>
      </c>
      <c r="H87" s="318">
        <f t="shared" si="23"/>
        <v>0.12999999999999998</v>
      </c>
      <c r="I87" s="295">
        <f t="shared" si="24"/>
        <v>208</v>
      </c>
      <c r="J87" s="318">
        <f t="shared" si="25"/>
        <v>0.12999999999999998</v>
      </c>
      <c r="K87" s="295">
        <f t="shared" si="26"/>
        <v>130</v>
      </c>
      <c r="L87" s="318">
        <f t="shared" si="27"/>
        <v>0.12999999999999998</v>
      </c>
      <c r="AP87" t="s">
        <v>195</v>
      </c>
    </row>
    <row r="88" spans="1:42" ht="12.75">
      <c r="A88" s="295">
        <v>1.52</v>
      </c>
      <c r="B88" s="285">
        <v>1.34</v>
      </c>
      <c r="C88" s="314">
        <v>1029</v>
      </c>
      <c r="D88" s="316">
        <f t="shared" si="13"/>
        <v>0.5200000000000002</v>
      </c>
      <c r="E88" s="314">
        <v>924</v>
      </c>
      <c r="F88" s="51">
        <f t="shared" si="21"/>
        <v>0.5200000000000002</v>
      </c>
      <c r="G88" s="295">
        <f t="shared" si="22"/>
        <v>168</v>
      </c>
      <c r="H88" s="318">
        <f t="shared" si="23"/>
        <v>0.13999999999999999</v>
      </c>
      <c r="I88" s="295">
        <f t="shared" si="24"/>
        <v>224</v>
      </c>
      <c r="J88" s="318">
        <f t="shared" si="25"/>
        <v>0.13999999999999999</v>
      </c>
      <c r="K88" s="295">
        <f t="shared" si="26"/>
        <v>140</v>
      </c>
      <c r="L88" s="318">
        <f t="shared" si="27"/>
        <v>0.13999999999999999</v>
      </c>
      <c r="AP88" t="s">
        <v>196</v>
      </c>
    </row>
    <row r="89" spans="1:42" ht="12.75">
      <c r="A89" s="295">
        <v>1.53</v>
      </c>
      <c r="B89" s="285">
        <v>1.36</v>
      </c>
      <c r="C89" s="314">
        <v>1048</v>
      </c>
      <c r="D89" s="316">
        <f t="shared" si="13"/>
        <v>0.5300000000000002</v>
      </c>
      <c r="E89" s="314">
        <v>936</v>
      </c>
      <c r="F89" s="51">
        <f t="shared" si="21"/>
        <v>0.5300000000000002</v>
      </c>
      <c r="G89" s="295">
        <f t="shared" si="22"/>
        <v>180</v>
      </c>
      <c r="H89" s="318">
        <f t="shared" si="23"/>
        <v>0.15</v>
      </c>
      <c r="I89" s="295">
        <f t="shared" si="24"/>
        <v>240</v>
      </c>
      <c r="J89" s="318">
        <f t="shared" si="25"/>
        <v>0.15</v>
      </c>
      <c r="K89" s="295">
        <f t="shared" si="26"/>
        <v>150</v>
      </c>
      <c r="L89" s="318">
        <f t="shared" si="27"/>
        <v>0.15</v>
      </c>
      <c r="AP89" t="s">
        <v>197</v>
      </c>
    </row>
    <row r="90" spans="1:42" ht="12.75">
      <c r="A90" s="295">
        <v>1.54</v>
      </c>
      <c r="B90" s="285">
        <v>1.38</v>
      </c>
      <c r="C90" s="314">
        <v>1067</v>
      </c>
      <c r="D90" s="316">
        <f t="shared" si="13"/>
        <v>0.5400000000000003</v>
      </c>
      <c r="E90" s="314">
        <v>955</v>
      </c>
      <c r="F90" s="51">
        <f t="shared" si="21"/>
        <v>0.5400000000000003</v>
      </c>
      <c r="G90" s="295">
        <f t="shared" si="22"/>
        <v>192</v>
      </c>
      <c r="H90" s="318">
        <f t="shared" si="23"/>
        <v>0.16</v>
      </c>
      <c r="I90" s="295">
        <f t="shared" si="24"/>
        <v>256</v>
      </c>
      <c r="J90" s="318">
        <f t="shared" si="25"/>
        <v>0.16</v>
      </c>
      <c r="K90" s="295">
        <f t="shared" si="26"/>
        <v>160</v>
      </c>
      <c r="L90" s="318">
        <f t="shared" si="27"/>
        <v>0.16</v>
      </c>
      <c r="AP90" t="s">
        <v>198</v>
      </c>
    </row>
    <row r="91" spans="1:42" ht="12.75">
      <c r="A91" s="295">
        <v>1.55</v>
      </c>
      <c r="B91" s="285">
        <v>1.4</v>
      </c>
      <c r="C91" s="314">
        <v>1086</v>
      </c>
      <c r="D91" s="316">
        <f t="shared" si="13"/>
        <v>0.5500000000000003</v>
      </c>
      <c r="E91" s="314">
        <v>971</v>
      </c>
      <c r="F91" s="51">
        <f t="shared" si="21"/>
        <v>0.5500000000000003</v>
      </c>
      <c r="G91" s="295">
        <f t="shared" si="22"/>
        <v>204</v>
      </c>
      <c r="H91" s="318">
        <f t="shared" si="23"/>
        <v>0.17</v>
      </c>
      <c r="I91" s="295">
        <f t="shared" si="24"/>
        <v>272</v>
      </c>
      <c r="J91" s="318">
        <f t="shared" si="25"/>
        <v>0.17</v>
      </c>
      <c r="K91" s="295">
        <f t="shared" si="26"/>
        <v>170</v>
      </c>
      <c r="L91" s="318">
        <f t="shared" si="27"/>
        <v>0.17</v>
      </c>
      <c r="AP91" t="s">
        <v>199</v>
      </c>
    </row>
    <row r="92" spans="1:42" ht="12.75">
      <c r="A92" s="295">
        <v>1.56</v>
      </c>
      <c r="B92" s="285">
        <v>1.42</v>
      </c>
      <c r="C92" s="314">
        <v>1105</v>
      </c>
      <c r="D92" s="316">
        <f t="shared" si="13"/>
        <v>0.5600000000000003</v>
      </c>
      <c r="E92" s="314">
        <v>986</v>
      </c>
      <c r="F92" s="51">
        <f t="shared" si="21"/>
        <v>0.5600000000000003</v>
      </c>
      <c r="G92" s="295">
        <f t="shared" si="22"/>
        <v>216</v>
      </c>
      <c r="H92" s="318">
        <f t="shared" si="23"/>
        <v>0.18000000000000002</v>
      </c>
      <c r="I92" s="295">
        <f t="shared" si="24"/>
        <v>288</v>
      </c>
      <c r="J92" s="318">
        <f t="shared" si="25"/>
        <v>0.18000000000000002</v>
      </c>
      <c r="K92" s="295">
        <f t="shared" si="26"/>
        <v>180</v>
      </c>
      <c r="L92" s="318">
        <f t="shared" si="27"/>
        <v>0.18000000000000002</v>
      </c>
      <c r="AP92" t="s">
        <v>200</v>
      </c>
    </row>
    <row r="93" spans="1:42" ht="12.75">
      <c r="A93" s="295">
        <v>1.57</v>
      </c>
      <c r="B93" s="285">
        <v>1.44</v>
      </c>
      <c r="C93" s="314">
        <v>1124</v>
      </c>
      <c r="D93" s="316">
        <f t="shared" si="13"/>
        <v>0.5700000000000003</v>
      </c>
      <c r="E93" s="314">
        <v>1002</v>
      </c>
      <c r="F93" s="51">
        <f t="shared" si="21"/>
        <v>0.5700000000000003</v>
      </c>
      <c r="G93" s="295">
        <f t="shared" si="22"/>
        <v>228</v>
      </c>
      <c r="H93" s="318">
        <f t="shared" si="23"/>
        <v>0.19000000000000003</v>
      </c>
      <c r="I93" s="295">
        <f t="shared" si="24"/>
        <v>304</v>
      </c>
      <c r="J93" s="318">
        <f t="shared" si="25"/>
        <v>0.19000000000000003</v>
      </c>
      <c r="K93" s="295">
        <f t="shared" si="26"/>
        <v>190</v>
      </c>
      <c r="L93" s="318">
        <f t="shared" si="27"/>
        <v>0.19000000000000003</v>
      </c>
      <c r="AN93">
        <v>11.04</v>
      </c>
      <c r="AO93" t="s">
        <v>180</v>
      </c>
      <c r="AP93" t="s">
        <v>319</v>
      </c>
    </row>
    <row r="94" spans="1:42" ht="12.75">
      <c r="A94" s="295">
        <v>1.58</v>
      </c>
      <c r="B94" s="285">
        <v>1.46</v>
      </c>
      <c r="C94" s="314">
        <v>1143</v>
      </c>
      <c r="D94" s="316">
        <f t="shared" si="13"/>
        <v>0.5800000000000003</v>
      </c>
      <c r="E94" s="314">
        <v>1017</v>
      </c>
      <c r="F94" s="51">
        <f t="shared" si="21"/>
        <v>0.5800000000000003</v>
      </c>
      <c r="G94" s="295">
        <f t="shared" si="22"/>
        <v>240</v>
      </c>
      <c r="H94" s="318">
        <f t="shared" si="23"/>
        <v>0.20000000000000004</v>
      </c>
      <c r="I94" s="295">
        <f t="shared" si="24"/>
        <v>320</v>
      </c>
      <c r="J94" s="318">
        <f t="shared" si="25"/>
        <v>0.20000000000000004</v>
      </c>
      <c r="K94" s="295">
        <f t="shared" si="26"/>
        <v>200</v>
      </c>
      <c r="L94" s="318">
        <f t="shared" si="27"/>
        <v>0.20000000000000004</v>
      </c>
      <c r="AP94" t="s">
        <v>320</v>
      </c>
    </row>
    <row r="95" spans="1:42" ht="12.75">
      <c r="A95" s="295">
        <v>1.59</v>
      </c>
      <c r="B95" s="285">
        <v>1.48</v>
      </c>
      <c r="C95" s="314">
        <v>1162</v>
      </c>
      <c r="D95" s="316">
        <f t="shared" si="13"/>
        <v>0.5900000000000003</v>
      </c>
      <c r="E95" s="314">
        <v>1033</v>
      </c>
      <c r="F95" s="51">
        <f t="shared" si="21"/>
        <v>0.5900000000000003</v>
      </c>
      <c r="G95" s="295">
        <f t="shared" si="22"/>
        <v>252</v>
      </c>
      <c r="H95" s="318">
        <f t="shared" si="23"/>
        <v>0.21000000000000005</v>
      </c>
      <c r="I95" s="295">
        <f t="shared" si="24"/>
        <v>336</v>
      </c>
      <c r="J95" s="318">
        <f t="shared" si="25"/>
        <v>0.21000000000000005</v>
      </c>
      <c r="K95" s="295">
        <f t="shared" si="26"/>
        <v>210</v>
      </c>
      <c r="L95" s="318">
        <f t="shared" si="27"/>
        <v>0.21000000000000005</v>
      </c>
      <c r="AP95" t="s">
        <v>321</v>
      </c>
    </row>
    <row r="96" spans="1:42" ht="12.75">
      <c r="A96" s="295">
        <v>1.6</v>
      </c>
      <c r="B96" s="285">
        <v>1.5</v>
      </c>
      <c r="C96" s="314">
        <v>1181</v>
      </c>
      <c r="D96" s="316">
        <f t="shared" si="13"/>
        <v>0.6000000000000003</v>
      </c>
      <c r="E96" s="314">
        <v>1046</v>
      </c>
      <c r="F96" s="51">
        <f t="shared" si="21"/>
        <v>0.6000000000000003</v>
      </c>
      <c r="G96" s="295">
        <f t="shared" si="22"/>
        <v>264</v>
      </c>
      <c r="H96" s="318">
        <f t="shared" si="23"/>
        <v>0.22000000000000006</v>
      </c>
      <c r="I96" s="295">
        <f t="shared" si="24"/>
        <v>352</v>
      </c>
      <c r="J96" s="318">
        <f t="shared" si="25"/>
        <v>0.22000000000000006</v>
      </c>
      <c r="K96" s="295">
        <f t="shared" si="26"/>
        <v>220</v>
      </c>
      <c r="L96" s="318">
        <f t="shared" si="27"/>
        <v>0.22000000000000006</v>
      </c>
      <c r="AP96" t="s">
        <v>322</v>
      </c>
    </row>
    <row r="97" spans="1:42" ht="12.75">
      <c r="A97" s="295">
        <v>1.61</v>
      </c>
      <c r="B97" s="285">
        <v>1.52</v>
      </c>
      <c r="C97" s="314">
        <v>1200</v>
      </c>
      <c r="D97" s="316">
        <f t="shared" si="13"/>
        <v>0.6100000000000003</v>
      </c>
      <c r="E97" s="314">
        <v>1064</v>
      </c>
      <c r="F97" s="51">
        <f t="shared" si="21"/>
        <v>0.6100000000000003</v>
      </c>
      <c r="G97" s="295">
        <f t="shared" si="22"/>
        <v>276</v>
      </c>
      <c r="H97" s="318">
        <f t="shared" si="23"/>
        <v>0.23000000000000007</v>
      </c>
      <c r="I97" s="295">
        <f t="shared" si="24"/>
        <v>368</v>
      </c>
      <c r="J97" s="318">
        <f t="shared" si="25"/>
        <v>0.23000000000000007</v>
      </c>
      <c r="K97" s="295">
        <f t="shared" si="26"/>
        <v>230</v>
      </c>
      <c r="L97" s="318">
        <f t="shared" si="27"/>
        <v>0.23000000000000007</v>
      </c>
      <c r="O97" s="119" t="s">
        <v>285</v>
      </c>
      <c r="Q97" s="37" t="s">
        <v>293</v>
      </c>
      <c r="AP97" t="s">
        <v>323</v>
      </c>
    </row>
    <row r="98" spans="1:42" ht="13.5" thickBot="1">
      <c r="A98" s="295">
        <v>1.62</v>
      </c>
      <c r="B98" s="285">
        <v>1.54</v>
      </c>
      <c r="C98" s="314">
        <v>1219</v>
      </c>
      <c r="D98" s="316">
        <f t="shared" si="13"/>
        <v>0.6200000000000003</v>
      </c>
      <c r="E98" s="314">
        <v>1080</v>
      </c>
      <c r="F98" s="51">
        <f t="shared" si="21"/>
        <v>0.6200000000000003</v>
      </c>
      <c r="G98" s="295">
        <f t="shared" si="22"/>
        <v>288</v>
      </c>
      <c r="H98" s="318">
        <f t="shared" si="23"/>
        <v>0.24000000000000007</v>
      </c>
      <c r="I98" s="295">
        <f t="shared" si="24"/>
        <v>384</v>
      </c>
      <c r="J98" s="318">
        <f t="shared" si="25"/>
        <v>0.24000000000000007</v>
      </c>
      <c r="K98" s="295">
        <f t="shared" si="26"/>
        <v>240</v>
      </c>
      <c r="L98" s="318">
        <f t="shared" si="27"/>
        <v>0.24000000000000007</v>
      </c>
      <c r="AO98" t="s">
        <v>309</v>
      </c>
      <c r="AP98" t="s">
        <v>179</v>
      </c>
    </row>
    <row r="99" spans="1:42" ht="13.5" thickBot="1">
      <c r="A99" s="295">
        <v>1.63</v>
      </c>
      <c r="B99" s="285">
        <v>1.56</v>
      </c>
      <c r="C99" s="314">
        <v>1239</v>
      </c>
      <c r="D99" s="316">
        <f t="shared" si="13"/>
        <v>0.6300000000000003</v>
      </c>
      <c r="E99" s="314">
        <v>1095</v>
      </c>
      <c r="F99" s="51">
        <f t="shared" si="21"/>
        <v>0.6300000000000003</v>
      </c>
      <c r="G99" s="295">
        <f t="shared" si="22"/>
        <v>300</v>
      </c>
      <c r="H99" s="318">
        <f t="shared" si="23"/>
        <v>0.25000000000000006</v>
      </c>
      <c r="I99" s="295">
        <f t="shared" si="24"/>
        <v>400</v>
      </c>
      <c r="J99" s="318">
        <f t="shared" si="25"/>
        <v>0.25000000000000006</v>
      </c>
      <c r="K99" s="295">
        <f t="shared" si="26"/>
        <v>250</v>
      </c>
      <c r="L99" s="318">
        <f t="shared" si="27"/>
        <v>0.25000000000000006</v>
      </c>
      <c r="O99" s="382"/>
      <c r="P99" s="540">
        <v>2005</v>
      </c>
      <c r="Q99" s="538"/>
      <c r="R99" s="381"/>
      <c r="S99" s="538">
        <v>2006</v>
      </c>
      <c r="T99" s="539"/>
      <c r="U99" s="536">
        <v>2007</v>
      </c>
      <c r="V99" s="537"/>
      <c r="AO99" t="s">
        <v>180</v>
      </c>
      <c r="AP99" t="s">
        <v>57</v>
      </c>
    </row>
    <row r="100" spans="1:42" ht="13.5" thickBot="1">
      <c r="A100" s="295">
        <v>1.64</v>
      </c>
      <c r="B100" s="285">
        <v>1.58</v>
      </c>
      <c r="C100" s="314">
        <v>1257</v>
      </c>
      <c r="D100" s="316">
        <f t="shared" si="13"/>
        <v>0.6400000000000003</v>
      </c>
      <c r="E100" s="314">
        <v>1111</v>
      </c>
      <c r="F100" s="51">
        <f t="shared" si="21"/>
        <v>0.6400000000000003</v>
      </c>
      <c r="G100" s="295">
        <f t="shared" si="22"/>
        <v>312</v>
      </c>
      <c r="H100" s="318">
        <f t="shared" si="23"/>
        <v>0.26000000000000006</v>
      </c>
      <c r="I100" s="295">
        <f t="shared" si="24"/>
        <v>416</v>
      </c>
      <c r="J100" s="318">
        <f t="shared" si="25"/>
        <v>0.26000000000000006</v>
      </c>
      <c r="K100" s="295">
        <f t="shared" si="26"/>
        <v>260</v>
      </c>
      <c r="L100" s="318">
        <f t="shared" si="27"/>
        <v>0.26000000000000006</v>
      </c>
      <c r="O100" s="541" t="s">
        <v>18</v>
      </c>
      <c r="P100" s="542"/>
      <c r="Q100" s="542"/>
      <c r="R100" s="542"/>
      <c r="S100" s="542"/>
      <c r="T100" s="542"/>
      <c r="U100" s="542"/>
      <c r="V100" s="543"/>
      <c r="AN100">
        <v>11.05</v>
      </c>
      <c r="AO100" t="s">
        <v>309</v>
      </c>
      <c r="AP100" t="s">
        <v>375</v>
      </c>
    </row>
    <row r="101" spans="1:42" ht="13.5" thickBot="1">
      <c r="A101" s="296">
        <v>1.65</v>
      </c>
      <c r="B101" s="322">
        <v>1.6</v>
      </c>
      <c r="C101" s="314">
        <v>1276</v>
      </c>
      <c r="D101" s="316">
        <f t="shared" si="13"/>
        <v>0.6500000000000004</v>
      </c>
      <c r="E101" s="314">
        <v>1127</v>
      </c>
      <c r="F101" s="51">
        <f t="shared" si="21"/>
        <v>0.6500000000000004</v>
      </c>
      <c r="G101" s="295">
        <f t="shared" si="22"/>
        <v>324</v>
      </c>
      <c r="H101" s="318">
        <f t="shared" si="23"/>
        <v>0.2700000000000001</v>
      </c>
      <c r="I101" s="295">
        <f t="shared" si="24"/>
        <v>432</v>
      </c>
      <c r="J101" s="318">
        <f t="shared" si="25"/>
        <v>0.2700000000000001</v>
      </c>
      <c r="K101" s="295">
        <f t="shared" si="26"/>
        <v>270</v>
      </c>
      <c r="L101" s="318">
        <f t="shared" si="27"/>
        <v>0.2700000000000001</v>
      </c>
      <c r="O101" s="383" t="s">
        <v>10</v>
      </c>
      <c r="P101" s="389" t="s">
        <v>20</v>
      </c>
      <c r="Q101" s="204" t="s">
        <v>21</v>
      </c>
      <c r="R101" s="391"/>
      <c r="S101" s="368" t="s">
        <v>20</v>
      </c>
      <c r="T101" s="390" t="s">
        <v>21</v>
      </c>
      <c r="U101" s="205" t="s">
        <v>20</v>
      </c>
      <c r="V101" s="204" t="s">
        <v>21</v>
      </c>
      <c r="AO101" t="s">
        <v>309</v>
      </c>
      <c r="AP101" t="s">
        <v>376</v>
      </c>
    </row>
    <row r="102" spans="3:42" ht="12.75">
      <c r="C102" s="314">
        <v>1295</v>
      </c>
      <c r="D102" s="316">
        <f aca="true" t="shared" si="28" ref="D102:D136">D101+0.01</f>
        <v>0.6600000000000004</v>
      </c>
      <c r="E102" s="314">
        <v>1142</v>
      </c>
      <c r="F102" s="51">
        <f t="shared" si="21"/>
        <v>0.6600000000000004</v>
      </c>
      <c r="G102" s="295">
        <f t="shared" si="22"/>
        <v>336</v>
      </c>
      <c r="H102" s="318">
        <f t="shared" si="23"/>
        <v>0.2800000000000001</v>
      </c>
      <c r="I102" s="295">
        <f t="shared" si="24"/>
        <v>448</v>
      </c>
      <c r="J102" s="318">
        <f t="shared" si="25"/>
        <v>0.2800000000000001</v>
      </c>
      <c r="K102" s="295">
        <f t="shared" si="26"/>
        <v>280</v>
      </c>
      <c r="L102" s="318">
        <f t="shared" si="27"/>
        <v>0.2800000000000001</v>
      </c>
      <c r="O102" s="392"/>
      <c r="P102" s="388">
        <v>3.31</v>
      </c>
      <c r="Q102" s="173">
        <v>6.62</v>
      </c>
      <c r="R102" s="380"/>
      <c r="S102" s="371">
        <v>3.39</v>
      </c>
      <c r="T102" s="371">
        <v>6.78</v>
      </c>
      <c r="U102" s="375">
        <f>S102*1.025</f>
        <v>3.47475</v>
      </c>
      <c r="V102" s="369">
        <f>T102*1.025</f>
        <v>6.9495</v>
      </c>
      <c r="AO102" t="s">
        <v>180</v>
      </c>
      <c r="AP102" t="s">
        <v>317</v>
      </c>
    </row>
    <row r="103" spans="3:42" ht="12.75">
      <c r="C103" s="314">
        <v>1314</v>
      </c>
      <c r="D103" s="316">
        <f t="shared" si="28"/>
        <v>0.6700000000000004</v>
      </c>
      <c r="E103" s="314">
        <v>1158</v>
      </c>
      <c r="F103" s="51">
        <f t="shared" si="21"/>
        <v>0.6700000000000004</v>
      </c>
      <c r="G103" s="295">
        <f t="shared" si="22"/>
        <v>348</v>
      </c>
      <c r="H103" s="318">
        <f t="shared" si="23"/>
        <v>0.2900000000000001</v>
      </c>
      <c r="I103" s="295">
        <f t="shared" si="24"/>
        <v>464</v>
      </c>
      <c r="J103" s="318">
        <f t="shared" si="25"/>
        <v>0.2900000000000001</v>
      </c>
      <c r="K103" s="295">
        <f t="shared" si="26"/>
        <v>290</v>
      </c>
      <c r="L103" s="318">
        <f t="shared" si="27"/>
        <v>0.2900000000000001</v>
      </c>
      <c r="O103" s="384">
        <v>1</v>
      </c>
      <c r="P103" s="386">
        <f>P104-P$105</f>
        <v>-3.3100000000000023</v>
      </c>
      <c r="Q103" s="173">
        <f>+P103*2</f>
        <v>-6.6200000000000045</v>
      </c>
      <c r="R103" s="378">
        <v>1</v>
      </c>
      <c r="S103" s="372">
        <f aca="true" t="shared" si="29" ref="S103:S111">S104-S$102</f>
        <v>54.16</v>
      </c>
      <c r="T103" s="372">
        <f aca="true" t="shared" si="30" ref="T103:T111">T104-T$102</f>
        <v>108.32</v>
      </c>
      <c r="U103" s="375">
        <f aca="true" t="shared" si="31" ref="U103:U111">U104-U$102</f>
        <v>55.50725</v>
      </c>
      <c r="V103" s="369">
        <f aca="true" t="shared" si="32" ref="V103:V111">V104-V$102</f>
        <v>111.0145</v>
      </c>
      <c r="AO103" t="s">
        <v>309</v>
      </c>
      <c r="AP103" t="s">
        <v>318</v>
      </c>
    </row>
    <row r="104" spans="3:42" ht="12.75">
      <c r="C104" s="314">
        <v>1333</v>
      </c>
      <c r="D104" s="316">
        <f t="shared" si="28"/>
        <v>0.6800000000000004</v>
      </c>
      <c r="E104" s="314">
        <v>1173</v>
      </c>
      <c r="F104" s="51">
        <f t="shared" si="21"/>
        <v>0.6800000000000004</v>
      </c>
      <c r="G104" s="295">
        <f t="shared" si="22"/>
        <v>360</v>
      </c>
      <c r="H104" s="318">
        <f t="shared" si="23"/>
        <v>0.3000000000000001</v>
      </c>
      <c r="I104" s="295">
        <f t="shared" si="24"/>
        <v>480</v>
      </c>
      <c r="J104" s="318">
        <f t="shared" si="25"/>
        <v>0.3000000000000001</v>
      </c>
      <c r="K104" s="295">
        <f t="shared" si="26"/>
        <v>300</v>
      </c>
      <c r="L104" s="318">
        <f t="shared" si="27"/>
        <v>0.3000000000000001</v>
      </c>
      <c r="O104" s="384">
        <v>2</v>
      </c>
      <c r="P104" s="386">
        <f aca="true" t="shared" si="33" ref="P104:P111">P105-P$102</f>
        <v>56.119999999999976</v>
      </c>
      <c r="Q104" s="173">
        <f aca="true" t="shared" si="34" ref="Q104:Q152">+P104*2</f>
        <v>112.23999999999995</v>
      </c>
      <c r="R104" s="378">
        <v>2</v>
      </c>
      <c r="S104" s="372">
        <f t="shared" si="29"/>
        <v>57.55</v>
      </c>
      <c r="T104" s="372">
        <f t="shared" si="30"/>
        <v>115.1</v>
      </c>
      <c r="U104" s="375">
        <f t="shared" si="31"/>
        <v>58.982</v>
      </c>
      <c r="V104" s="369">
        <f t="shared" si="32"/>
        <v>117.964</v>
      </c>
      <c r="AO104" t="s">
        <v>180</v>
      </c>
      <c r="AP104" t="s">
        <v>166</v>
      </c>
    </row>
    <row r="105" spans="3:42" ht="12.75">
      <c r="C105" s="314">
        <v>1352</v>
      </c>
      <c r="D105" s="316">
        <f t="shared" si="28"/>
        <v>0.6900000000000004</v>
      </c>
      <c r="E105" s="314">
        <v>1189</v>
      </c>
      <c r="F105" s="51">
        <f t="shared" si="21"/>
        <v>0.6900000000000004</v>
      </c>
      <c r="G105" s="295">
        <f t="shared" si="22"/>
        <v>372</v>
      </c>
      <c r="H105" s="318">
        <f t="shared" si="23"/>
        <v>0.3100000000000001</v>
      </c>
      <c r="I105" s="295">
        <f t="shared" si="24"/>
        <v>496</v>
      </c>
      <c r="J105" s="318">
        <f t="shared" si="25"/>
        <v>0.3100000000000001</v>
      </c>
      <c r="K105" s="295">
        <f t="shared" si="26"/>
        <v>310</v>
      </c>
      <c r="L105" s="318">
        <f t="shared" si="27"/>
        <v>0.3100000000000001</v>
      </c>
      <c r="O105" s="384">
        <f aca="true" t="shared" si="35" ref="O105:O152">O104+1</f>
        <v>3</v>
      </c>
      <c r="P105" s="386">
        <f t="shared" si="33"/>
        <v>59.42999999999998</v>
      </c>
      <c r="Q105" s="173">
        <f t="shared" si="34"/>
        <v>118.85999999999996</v>
      </c>
      <c r="R105" s="378">
        <f aca="true" t="shared" si="36" ref="R105:R152">R104+1</f>
        <v>3</v>
      </c>
      <c r="S105" s="372">
        <f t="shared" si="29"/>
        <v>60.94</v>
      </c>
      <c r="T105" s="372">
        <f t="shared" si="30"/>
        <v>121.88</v>
      </c>
      <c r="U105" s="375">
        <f t="shared" si="31"/>
        <v>62.45675</v>
      </c>
      <c r="V105" s="369">
        <f t="shared" si="32"/>
        <v>124.9135</v>
      </c>
      <c r="AO105" t="s">
        <v>168</v>
      </c>
      <c r="AP105" t="s">
        <v>169</v>
      </c>
    </row>
    <row r="106" spans="3:42" ht="12.75">
      <c r="C106" s="314">
        <v>1371</v>
      </c>
      <c r="D106" s="316">
        <f t="shared" si="28"/>
        <v>0.7000000000000004</v>
      </c>
      <c r="E106" s="314">
        <v>1205</v>
      </c>
      <c r="F106" s="51">
        <f t="shared" si="21"/>
        <v>0.7000000000000004</v>
      </c>
      <c r="G106" s="295">
        <f t="shared" si="22"/>
        <v>384</v>
      </c>
      <c r="H106" s="318">
        <f t="shared" si="23"/>
        <v>0.3200000000000001</v>
      </c>
      <c r="I106" s="295">
        <f t="shared" si="24"/>
        <v>512</v>
      </c>
      <c r="J106" s="318">
        <f t="shared" si="25"/>
        <v>0.3200000000000001</v>
      </c>
      <c r="K106" s="295">
        <f t="shared" si="26"/>
        <v>320</v>
      </c>
      <c r="L106" s="318">
        <f t="shared" si="27"/>
        <v>0.3200000000000001</v>
      </c>
      <c r="O106" s="384">
        <f t="shared" si="35"/>
        <v>4</v>
      </c>
      <c r="P106" s="386">
        <f t="shared" si="33"/>
        <v>62.73999999999998</v>
      </c>
      <c r="Q106" s="173">
        <f t="shared" si="34"/>
        <v>125.47999999999996</v>
      </c>
      <c r="R106" s="378">
        <f t="shared" si="36"/>
        <v>4</v>
      </c>
      <c r="S106" s="372">
        <f t="shared" si="29"/>
        <v>64.33</v>
      </c>
      <c r="T106" s="372">
        <f t="shared" si="30"/>
        <v>128.66</v>
      </c>
      <c r="U106" s="375">
        <f t="shared" si="31"/>
        <v>65.9315</v>
      </c>
      <c r="V106" s="369">
        <f t="shared" si="32"/>
        <v>131.863</v>
      </c>
      <c r="AO106" t="s">
        <v>180</v>
      </c>
      <c r="AP106" t="s">
        <v>172</v>
      </c>
    </row>
    <row r="107" spans="3:42" ht="12.75">
      <c r="C107" s="314">
        <v>1390</v>
      </c>
      <c r="D107" s="316">
        <f t="shared" si="28"/>
        <v>0.7100000000000004</v>
      </c>
      <c r="E107" s="314">
        <v>1220</v>
      </c>
      <c r="F107" s="51">
        <f t="shared" si="21"/>
        <v>0.7100000000000004</v>
      </c>
      <c r="G107" s="295">
        <f t="shared" si="22"/>
        <v>396</v>
      </c>
      <c r="H107" s="318">
        <f t="shared" si="23"/>
        <v>0.3300000000000001</v>
      </c>
      <c r="I107" s="295">
        <f t="shared" si="24"/>
        <v>528</v>
      </c>
      <c r="J107" s="318">
        <f t="shared" si="25"/>
        <v>0.3300000000000001</v>
      </c>
      <c r="K107" s="295">
        <f t="shared" si="26"/>
        <v>330</v>
      </c>
      <c r="L107" s="318">
        <f t="shared" si="27"/>
        <v>0.3300000000000001</v>
      </c>
      <c r="O107" s="384">
        <f t="shared" si="35"/>
        <v>5</v>
      </c>
      <c r="P107" s="386">
        <f t="shared" si="33"/>
        <v>66.04999999999998</v>
      </c>
      <c r="Q107" s="173">
        <f t="shared" si="34"/>
        <v>132.09999999999997</v>
      </c>
      <c r="R107" s="378">
        <f t="shared" si="36"/>
        <v>5</v>
      </c>
      <c r="S107" s="372">
        <f t="shared" si="29"/>
        <v>67.72</v>
      </c>
      <c r="T107" s="372">
        <f t="shared" si="30"/>
        <v>135.44</v>
      </c>
      <c r="U107" s="375">
        <f t="shared" si="31"/>
        <v>69.40625</v>
      </c>
      <c r="V107" s="369">
        <f t="shared" si="32"/>
        <v>138.8125</v>
      </c>
      <c r="AP107" t="s">
        <v>173</v>
      </c>
    </row>
    <row r="108" spans="3:42" ht="12.75">
      <c r="C108" s="314">
        <v>1409</v>
      </c>
      <c r="D108" s="316">
        <f t="shared" si="28"/>
        <v>0.7200000000000004</v>
      </c>
      <c r="E108" s="314">
        <v>1236</v>
      </c>
      <c r="F108" s="51">
        <f t="shared" si="21"/>
        <v>0.7200000000000004</v>
      </c>
      <c r="G108" s="295">
        <f t="shared" si="22"/>
        <v>408</v>
      </c>
      <c r="H108" s="318">
        <f t="shared" si="23"/>
        <v>0.34000000000000014</v>
      </c>
      <c r="I108" s="295">
        <f t="shared" si="24"/>
        <v>544</v>
      </c>
      <c r="J108" s="318">
        <f t="shared" si="25"/>
        <v>0.34000000000000014</v>
      </c>
      <c r="K108" s="295">
        <f t="shared" si="26"/>
        <v>340</v>
      </c>
      <c r="L108" s="318">
        <f t="shared" si="27"/>
        <v>0.34000000000000014</v>
      </c>
      <c r="O108" s="384">
        <f t="shared" si="35"/>
        <v>6</v>
      </c>
      <c r="P108" s="386">
        <f t="shared" si="33"/>
        <v>69.35999999999999</v>
      </c>
      <c r="Q108" s="173">
        <f t="shared" si="34"/>
        <v>138.71999999999997</v>
      </c>
      <c r="R108" s="378">
        <f t="shared" si="36"/>
        <v>6</v>
      </c>
      <c r="S108" s="372">
        <f t="shared" si="29"/>
        <v>71.11</v>
      </c>
      <c r="T108" s="372">
        <f t="shared" si="30"/>
        <v>142.22</v>
      </c>
      <c r="U108" s="375">
        <f t="shared" si="31"/>
        <v>72.881</v>
      </c>
      <c r="V108" s="369">
        <f t="shared" si="32"/>
        <v>145.762</v>
      </c>
      <c r="AP108" t="s">
        <v>174</v>
      </c>
    </row>
    <row r="109" spans="3:42" ht="12.75">
      <c r="C109" s="314">
        <v>1428</v>
      </c>
      <c r="D109" s="316">
        <f t="shared" si="28"/>
        <v>0.7300000000000004</v>
      </c>
      <c r="E109" s="314">
        <v>1251</v>
      </c>
      <c r="F109" s="51">
        <f t="shared" si="21"/>
        <v>0.7300000000000004</v>
      </c>
      <c r="G109" s="295">
        <f t="shared" si="22"/>
        <v>420</v>
      </c>
      <c r="H109" s="318">
        <f t="shared" si="23"/>
        <v>0.35000000000000014</v>
      </c>
      <c r="I109" s="295">
        <f t="shared" si="24"/>
        <v>560</v>
      </c>
      <c r="J109" s="318">
        <f t="shared" si="25"/>
        <v>0.35000000000000014</v>
      </c>
      <c r="K109" s="295">
        <f t="shared" si="26"/>
        <v>350</v>
      </c>
      <c r="L109" s="318">
        <f t="shared" si="27"/>
        <v>0.35000000000000014</v>
      </c>
      <c r="O109" s="384">
        <f t="shared" si="35"/>
        <v>7</v>
      </c>
      <c r="P109" s="386">
        <f t="shared" si="33"/>
        <v>72.66999999999999</v>
      </c>
      <c r="Q109" s="173">
        <f t="shared" si="34"/>
        <v>145.33999999999997</v>
      </c>
      <c r="R109" s="378">
        <f t="shared" si="36"/>
        <v>7</v>
      </c>
      <c r="S109" s="372">
        <f t="shared" si="29"/>
        <v>74.5</v>
      </c>
      <c r="T109" s="372">
        <f t="shared" si="30"/>
        <v>149</v>
      </c>
      <c r="U109" s="375">
        <f t="shared" si="31"/>
        <v>76.35575</v>
      </c>
      <c r="V109" s="369">
        <f t="shared" si="32"/>
        <v>152.7115</v>
      </c>
      <c r="AO109" t="s">
        <v>309</v>
      </c>
      <c r="AP109" t="s">
        <v>206</v>
      </c>
    </row>
    <row r="110" spans="3:42" ht="12.75">
      <c r="C110" s="314">
        <v>1447</v>
      </c>
      <c r="D110" s="316">
        <f t="shared" si="28"/>
        <v>0.7400000000000004</v>
      </c>
      <c r="E110" s="314">
        <v>1267</v>
      </c>
      <c r="F110" s="51">
        <f t="shared" si="21"/>
        <v>0.7400000000000004</v>
      </c>
      <c r="G110" s="295">
        <f t="shared" si="22"/>
        <v>432</v>
      </c>
      <c r="H110" s="318">
        <f t="shared" si="23"/>
        <v>0.36000000000000015</v>
      </c>
      <c r="I110" s="295">
        <f t="shared" si="24"/>
        <v>576</v>
      </c>
      <c r="J110" s="318">
        <f t="shared" si="25"/>
        <v>0.36000000000000015</v>
      </c>
      <c r="K110" s="295">
        <f t="shared" si="26"/>
        <v>360</v>
      </c>
      <c r="L110" s="318">
        <f t="shared" si="27"/>
        <v>0.36000000000000015</v>
      </c>
      <c r="O110" s="384">
        <f t="shared" si="35"/>
        <v>8</v>
      </c>
      <c r="P110" s="386">
        <f t="shared" si="33"/>
        <v>75.97999999999999</v>
      </c>
      <c r="Q110" s="173">
        <f t="shared" si="34"/>
        <v>151.95999999999998</v>
      </c>
      <c r="R110" s="378">
        <f t="shared" si="36"/>
        <v>8</v>
      </c>
      <c r="S110" s="372">
        <f t="shared" si="29"/>
        <v>77.89</v>
      </c>
      <c r="T110" s="372">
        <f t="shared" si="30"/>
        <v>155.78</v>
      </c>
      <c r="U110" s="375">
        <f t="shared" si="31"/>
        <v>79.8305</v>
      </c>
      <c r="V110" s="369">
        <f t="shared" si="32"/>
        <v>159.661</v>
      </c>
      <c r="AN110">
        <v>11.06</v>
      </c>
      <c r="AO110" t="s">
        <v>170</v>
      </c>
      <c r="AP110" t="s">
        <v>171</v>
      </c>
    </row>
    <row r="111" spans="3:42" ht="12.75">
      <c r="C111" s="314">
        <v>1466</v>
      </c>
      <c r="D111" s="316">
        <f t="shared" si="28"/>
        <v>0.7500000000000004</v>
      </c>
      <c r="E111" s="314">
        <v>1283</v>
      </c>
      <c r="F111" s="51">
        <f t="shared" si="21"/>
        <v>0.7500000000000004</v>
      </c>
      <c r="G111" s="295">
        <f t="shared" si="22"/>
        <v>444</v>
      </c>
      <c r="H111" s="318">
        <f t="shared" si="23"/>
        <v>0.37000000000000016</v>
      </c>
      <c r="I111" s="295">
        <f t="shared" si="24"/>
        <v>592</v>
      </c>
      <c r="J111" s="318">
        <f t="shared" si="25"/>
        <v>0.37000000000000016</v>
      </c>
      <c r="K111" s="295">
        <f t="shared" si="26"/>
        <v>370</v>
      </c>
      <c r="L111" s="318">
        <f t="shared" si="27"/>
        <v>0.37000000000000016</v>
      </c>
      <c r="O111" s="384">
        <f t="shared" si="35"/>
        <v>9</v>
      </c>
      <c r="P111" s="386">
        <f t="shared" si="33"/>
        <v>79.28999999999999</v>
      </c>
      <c r="Q111" s="173">
        <f t="shared" si="34"/>
        <v>158.57999999999998</v>
      </c>
      <c r="R111" s="378">
        <f t="shared" si="36"/>
        <v>9</v>
      </c>
      <c r="S111" s="372">
        <f t="shared" si="29"/>
        <v>81.28</v>
      </c>
      <c r="T111" s="372">
        <f t="shared" si="30"/>
        <v>162.56</v>
      </c>
      <c r="U111" s="375">
        <f t="shared" si="31"/>
        <v>83.30525</v>
      </c>
      <c r="V111" s="369">
        <f t="shared" si="32"/>
        <v>166.6105</v>
      </c>
      <c r="AO111" t="s">
        <v>180</v>
      </c>
      <c r="AP111" t="s">
        <v>121</v>
      </c>
    </row>
    <row r="112" spans="3:42" ht="12.75">
      <c r="C112" s="314">
        <v>1485</v>
      </c>
      <c r="D112" s="316">
        <f t="shared" si="28"/>
        <v>0.7600000000000005</v>
      </c>
      <c r="E112" s="314">
        <v>1298</v>
      </c>
      <c r="F112" s="51">
        <f t="shared" si="21"/>
        <v>0.7600000000000005</v>
      </c>
      <c r="G112" s="295">
        <f t="shared" si="22"/>
        <v>456</v>
      </c>
      <c r="H112" s="318">
        <f t="shared" si="23"/>
        <v>0.38000000000000017</v>
      </c>
      <c r="I112" s="295">
        <f t="shared" si="24"/>
        <v>608</v>
      </c>
      <c r="J112" s="318">
        <f t="shared" si="25"/>
        <v>0.38000000000000017</v>
      </c>
      <c r="K112" s="295">
        <f t="shared" si="26"/>
        <v>380</v>
      </c>
      <c r="L112" s="318">
        <f t="shared" si="27"/>
        <v>0.38000000000000017</v>
      </c>
      <c r="O112" s="384">
        <f t="shared" si="35"/>
        <v>10</v>
      </c>
      <c r="P112" s="386">
        <v>82.6</v>
      </c>
      <c r="Q112" s="173">
        <f t="shared" si="34"/>
        <v>165.2</v>
      </c>
      <c r="R112" s="378">
        <f t="shared" si="36"/>
        <v>10</v>
      </c>
      <c r="S112" s="373">
        <v>84.67</v>
      </c>
      <c r="T112" s="373">
        <f aca="true" t="shared" si="37" ref="T112:T152">S112*2</f>
        <v>169.34</v>
      </c>
      <c r="U112" s="375">
        <v>86.78</v>
      </c>
      <c r="V112" s="369">
        <f aca="true" t="shared" si="38" ref="V112:V151">U112*2</f>
        <v>173.56</v>
      </c>
      <c r="AO112" t="s">
        <v>180</v>
      </c>
      <c r="AP112" t="s">
        <v>122</v>
      </c>
    </row>
    <row r="113" spans="3:42" ht="12.75">
      <c r="C113" s="314">
        <v>1504</v>
      </c>
      <c r="D113" s="316">
        <f t="shared" si="28"/>
        <v>0.7700000000000005</v>
      </c>
      <c r="E113" s="314">
        <v>1314</v>
      </c>
      <c r="F113" s="51">
        <f t="shared" si="21"/>
        <v>0.7700000000000005</v>
      </c>
      <c r="G113" s="295">
        <f t="shared" si="22"/>
        <v>468</v>
      </c>
      <c r="H113" s="318">
        <f t="shared" si="23"/>
        <v>0.3900000000000002</v>
      </c>
      <c r="I113" s="295">
        <f t="shared" si="24"/>
        <v>624</v>
      </c>
      <c r="J113" s="318">
        <f t="shared" si="25"/>
        <v>0.3900000000000002</v>
      </c>
      <c r="K113" s="295">
        <f t="shared" si="26"/>
        <v>390</v>
      </c>
      <c r="L113" s="318">
        <f t="shared" si="27"/>
        <v>0.3900000000000002</v>
      </c>
      <c r="O113" s="384">
        <f t="shared" si="35"/>
        <v>11</v>
      </c>
      <c r="P113" s="386">
        <v>85.9</v>
      </c>
      <c r="Q113" s="173">
        <f t="shared" si="34"/>
        <v>171.8</v>
      </c>
      <c r="R113" s="378">
        <f t="shared" si="36"/>
        <v>11</v>
      </c>
      <c r="S113" s="373">
        <v>88.05</v>
      </c>
      <c r="T113" s="373">
        <f t="shared" si="37"/>
        <v>176.1</v>
      </c>
      <c r="U113" s="375">
        <f>S113*1.025</f>
        <v>90.25124999999998</v>
      </c>
      <c r="V113" s="369">
        <f t="shared" si="38"/>
        <v>180.50249999999997</v>
      </c>
      <c r="AO113" t="s">
        <v>180</v>
      </c>
      <c r="AP113" t="s">
        <v>123</v>
      </c>
    </row>
    <row r="114" spans="3:42" ht="12.75">
      <c r="C114" s="314">
        <v>1523</v>
      </c>
      <c r="D114" s="316">
        <f t="shared" si="28"/>
        <v>0.7800000000000005</v>
      </c>
      <c r="E114" s="314">
        <v>1329</v>
      </c>
      <c r="F114" s="51">
        <f t="shared" si="21"/>
        <v>0.7800000000000005</v>
      </c>
      <c r="G114" s="295">
        <f t="shared" si="22"/>
        <v>480</v>
      </c>
      <c r="H114" s="318">
        <f t="shared" si="23"/>
        <v>0.4000000000000002</v>
      </c>
      <c r="I114" s="295">
        <f t="shared" si="24"/>
        <v>640</v>
      </c>
      <c r="J114" s="318">
        <f t="shared" si="25"/>
        <v>0.4000000000000002</v>
      </c>
      <c r="K114" s="295">
        <f t="shared" si="26"/>
        <v>400</v>
      </c>
      <c r="L114" s="318">
        <f t="shared" si="27"/>
        <v>0.4000000000000002</v>
      </c>
      <c r="O114" s="384">
        <f t="shared" si="35"/>
        <v>12</v>
      </c>
      <c r="P114" s="386">
        <v>89.2</v>
      </c>
      <c r="Q114" s="173">
        <f t="shared" si="34"/>
        <v>178.4</v>
      </c>
      <c r="R114" s="378">
        <f t="shared" si="36"/>
        <v>12</v>
      </c>
      <c r="S114" s="373">
        <v>91.43</v>
      </c>
      <c r="T114" s="373">
        <f t="shared" si="37"/>
        <v>182.86</v>
      </c>
      <c r="U114" s="375">
        <f>S114*1.025</f>
        <v>93.71575</v>
      </c>
      <c r="V114" s="369">
        <v>187.44</v>
      </c>
      <c r="AO114" t="s">
        <v>180</v>
      </c>
      <c r="AP114" t="s">
        <v>124</v>
      </c>
    </row>
    <row r="115" spans="3:42" ht="12.75">
      <c r="C115" s="314">
        <v>1542</v>
      </c>
      <c r="D115" s="316">
        <f t="shared" si="28"/>
        <v>0.7900000000000005</v>
      </c>
      <c r="E115" s="314">
        <v>1345</v>
      </c>
      <c r="F115" s="51">
        <f t="shared" si="21"/>
        <v>0.7900000000000005</v>
      </c>
      <c r="G115" s="295">
        <f t="shared" si="22"/>
        <v>492</v>
      </c>
      <c r="H115" s="318">
        <f t="shared" si="23"/>
        <v>0.4100000000000002</v>
      </c>
      <c r="I115" s="295">
        <f t="shared" si="24"/>
        <v>656</v>
      </c>
      <c r="J115" s="318">
        <f t="shared" si="25"/>
        <v>0.4100000000000002</v>
      </c>
      <c r="K115" s="295">
        <f t="shared" si="26"/>
        <v>410</v>
      </c>
      <c r="L115" s="318">
        <f t="shared" si="27"/>
        <v>0.4100000000000002</v>
      </c>
      <c r="O115" s="384">
        <f t="shared" si="35"/>
        <v>13</v>
      </c>
      <c r="P115" s="386">
        <v>92.51</v>
      </c>
      <c r="Q115" s="173">
        <f t="shared" si="34"/>
        <v>185.02</v>
      </c>
      <c r="R115" s="378">
        <f t="shared" si="36"/>
        <v>13</v>
      </c>
      <c r="S115" s="373">
        <v>94.82</v>
      </c>
      <c r="T115" s="373">
        <f t="shared" si="37"/>
        <v>189.64</v>
      </c>
      <c r="U115" s="375">
        <f>S115*1.025</f>
        <v>97.19049999999999</v>
      </c>
      <c r="V115" s="369">
        <f t="shared" si="38"/>
        <v>194.38099999999997</v>
      </c>
      <c r="AO115" t="s">
        <v>180</v>
      </c>
      <c r="AP115" t="s">
        <v>125</v>
      </c>
    </row>
    <row r="116" spans="3:42" ht="12.75">
      <c r="C116" s="314">
        <v>1561</v>
      </c>
      <c r="D116" s="316">
        <f t="shared" si="28"/>
        <v>0.8000000000000005</v>
      </c>
      <c r="E116" s="314">
        <v>1361</v>
      </c>
      <c r="F116" s="51">
        <f t="shared" si="21"/>
        <v>0.8000000000000005</v>
      </c>
      <c r="G116" s="295">
        <f t="shared" si="22"/>
        <v>504</v>
      </c>
      <c r="H116" s="318">
        <f t="shared" si="23"/>
        <v>0.4200000000000002</v>
      </c>
      <c r="I116" s="295">
        <f t="shared" si="24"/>
        <v>672</v>
      </c>
      <c r="J116" s="318">
        <f t="shared" si="25"/>
        <v>0.4200000000000002</v>
      </c>
      <c r="K116" s="295">
        <f t="shared" si="26"/>
        <v>420</v>
      </c>
      <c r="L116" s="318">
        <f t="shared" si="27"/>
        <v>0.4200000000000002</v>
      </c>
      <c r="O116" s="384">
        <f t="shared" si="35"/>
        <v>14</v>
      </c>
      <c r="P116" s="386">
        <v>95.81</v>
      </c>
      <c r="Q116" s="173">
        <f t="shared" si="34"/>
        <v>191.62</v>
      </c>
      <c r="R116" s="378">
        <f t="shared" si="36"/>
        <v>14</v>
      </c>
      <c r="S116" s="373">
        <v>98.21</v>
      </c>
      <c r="T116" s="373">
        <f t="shared" si="37"/>
        <v>196.42</v>
      </c>
      <c r="U116" s="375">
        <v>100.66</v>
      </c>
      <c r="V116" s="369">
        <f t="shared" si="38"/>
        <v>201.32</v>
      </c>
      <c r="AO116" t="s">
        <v>180</v>
      </c>
      <c r="AP116" t="s">
        <v>126</v>
      </c>
    </row>
    <row r="117" spans="3:42" ht="12.75">
      <c r="C117" s="314">
        <v>1580</v>
      </c>
      <c r="D117" s="316">
        <f t="shared" si="28"/>
        <v>0.8100000000000005</v>
      </c>
      <c r="E117" s="314">
        <v>1376</v>
      </c>
      <c r="F117" s="51">
        <f t="shared" si="21"/>
        <v>0.8100000000000005</v>
      </c>
      <c r="G117" s="295">
        <f t="shared" si="22"/>
        <v>516</v>
      </c>
      <c r="H117" s="318">
        <f t="shared" si="23"/>
        <v>0.4300000000000002</v>
      </c>
      <c r="I117" s="295">
        <f t="shared" si="24"/>
        <v>688</v>
      </c>
      <c r="J117" s="318">
        <f t="shared" si="25"/>
        <v>0.4300000000000002</v>
      </c>
      <c r="K117" s="295">
        <f t="shared" si="26"/>
        <v>430</v>
      </c>
      <c r="L117" s="318">
        <f t="shared" si="27"/>
        <v>0.4300000000000002</v>
      </c>
      <c r="O117" s="384">
        <f t="shared" si="35"/>
        <v>15</v>
      </c>
      <c r="P117" s="386">
        <v>99.12</v>
      </c>
      <c r="Q117" s="173">
        <f t="shared" si="34"/>
        <v>198.24</v>
      </c>
      <c r="R117" s="378">
        <f t="shared" si="36"/>
        <v>15</v>
      </c>
      <c r="S117" s="373">
        <v>101.6</v>
      </c>
      <c r="T117" s="373">
        <f t="shared" si="37"/>
        <v>203.2</v>
      </c>
      <c r="U117" s="375">
        <f>S117*1.025</f>
        <v>104.13999999999999</v>
      </c>
      <c r="V117" s="369">
        <f t="shared" si="38"/>
        <v>208.27999999999997</v>
      </c>
      <c r="AO117" t="s">
        <v>309</v>
      </c>
      <c r="AP117" t="s">
        <v>127</v>
      </c>
    </row>
    <row r="118" spans="3:42" ht="12.75">
      <c r="C118" s="314">
        <v>1599</v>
      </c>
      <c r="D118" s="316">
        <f t="shared" si="28"/>
        <v>0.8200000000000005</v>
      </c>
      <c r="E118" s="314">
        <v>1392</v>
      </c>
      <c r="F118" s="51">
        <f t="shared" si="21"/>
        <v>0.8200000000000005</v>
      </c>
      <c r="G118" s="295">
        <f t="shared" si="22"/>
        <v>528</v>
      </c>
      <c r="H118" s="318">
        <f t="shared" si="23"/>
        <v>0.4400000000000002</v>
      </c>
      <c r="I118" s="295">
        <f t="shared" si="24"/>
        <v>704</v>
      </c>
      <c r="J118" s="318">
        <f t="shared" si="25"/>
        <v>0.4400000000000002</v>
      </c>
      <c r="K118" s="295">
        <f t="shared" si="26"/>
        <v>440</v>
      </c>
      <c r="L118" s="318">
        <f t="shared" si="27"/>
        <v>0.4400000000000002</v>
      </c>
      <c r="O118" s="384">
        <f t="shared" si="35"/>
        <v>16</v>
      </c>
      <c r="P118" s="386">
        <v>102.43</v>
      </c>
      <c r="Q118" s="173">
        <f t="shared" si="34"/>
        <v>204.86</v>
      </c>
      <c r="R118" s="378">
        <f t="shared" si="36"/>
        <v>16</v>
      </c>
      <c r="S118" s="373">
        <v>104.99</v>
      </c>
      <c r="T118" s="373">
        <f t="shared" si="37"/>
        <v>209.98</v>
      </c>
      <c r="U118" s="375">
        <f>S118*1.025</f>
        <v>107.61474999999999</v>
      </c>
      <c r="V118" s="369">
        <v>215.23</v>
      </c>
      <c r="AN118">
        <v>11.07</v>
      </c>
      <c r="AO118" t="s">
        <v>309</v>
      </c>
      <c r="AP118" t="s">
        <v>311</v>
      </c>
    </row>
    <row r="119" spans="3:42" ht="12.75">
      <c r="C119" s="314">
        <v>1618</v>
      </c>
      <c r="D119" s="316">
        <f t="shared" si="28"/>
        <v>0.8300000000000005</v>
      </c>
      <c r="E119" s="314">
        <v>1407</v>
      </c>
      <c r="F119" s="51">
        <f t="shared" si="21"/>
        <v>0.8300000000000005</v>
      </c>
      <c r="G119" s="295">
        <f t="shared" si="22"/>
        <v>540</v>
      </c>
      <c r="H119" s="318">
        <f t="shared" si="23"/>
        <v>0.45000000000000023</v>
      </c>
      <c r="I119" s="295">
        <f t="shared" si="24"/>
        <v>720</v>
      </c>
      <c r="J119" s="318">
        <f t="shared" si="25"/>
        <v>0.45000000000000023</v>
      </c>
      <c r="K119" s="295">
        <f t="shared" si="26"/>
        <v>450</v>
      </c>
      <c r="L119" s="318">
        <f t="shared" si="27"/>
        <v>0.45000000000000023</v>
      </c>
      <c r="O119" s="384">
        <f t="shared" si="35"/>
        <v>17</v>
      </c>
      <c r="P119" s="386">
        <v>105.73</v>
      </c>
      <c r="Q119" s="173">
        <f t="shared" si="34"/>
        <v>211.46</v>
      </c>
      <c r="R119" s="378">
        <f t="shared" si="36"/>
        <v>17</v>
      </c>
      <c r="S119" s="373">
        <v>108.37</v>
      </c>
      <c r="T119" s="373">
        <f t="shared" si="37"/>
        <v>216.74</v>
      </c>
      <c r="U119" s="375">
        <f>S119*1.025</f>
        <v>111.07925</v>
      </c>
      <c r="V119" s="369">
        <f t="shared" si="38"/>
        <v>222.1585</v>
      </c>
      <c r="AO119" t="s">
        <v>170</v>
      </c>
      <c r="AP119" t="s">
        <v>114</v>
      </c>
    </row>
    <row r="120" spans="3:42" ht="12.75">
      <c r="C120" s="314">
        <v>1637</v>
      </c>
      <c r="D120" s="316">
        <f t="shared" si="28"/>
        <v>0.8400000000000005</v>
      </c>
      <c r="E120" s="314">
        <v>1423</v>
      </c>
      <c r="F120" s="51">
        <f t="shared" si="21"/>
        <v>0.8400000000000005</v>
      </c>
      <c r="G120" s="295">
        <f t="shared" si="22"/>
        <v>552</v>
      </c>
      <c r="H120" s="318">
        <f t="shared" si="23"/>
        <v>0.46000000000000024</v>
      </c>
      <c r="I120" s="295">
        <f t="shared" si="24"/>
        <v>736</v>
      </c>
      <c r="J120" s="318">
        <f t="shared" si="25"/>
        <v>0.46000000000000024</v>
      </c>
      <c r="K120" s="295">
        <f t="shared" si="26"/>
        <v>460</v>
      </c>
      <c r="L120" s="318">
        <f t="shared" si="27"/>
        <v>0.46000000000000024</v>
      </c>
      <c r="O120" s="384">
        <f t="shared" si="35"/>
        <v>18</v>
      </c>
      <c r="P120" s="386">
        <v>109.03</v>
      </c>
      <c r="Q120" s="173">
        <f t="shared" si="34"/>
        <v>218.06</v>
      </c>
      <c r="R120" s="378">
        <f t="shared" si="36"/>
        <v>18</v>
      </c>
      <c r="S120" s="373">
        <v>111.75</v>
      </c>
      <c r="T120" s="373">
        <f t="shared" si="37"/>
        <v>223.5</v>
      </c>
      <c r="U120" s="375">
        <v>114.55</v>
      </c>
      <c r="V120" s="369">
        <f t="shared" si="38"/>
        <v>229.1</v>
      </c>
      <c r="AO120" t="s">
        <v>180</v>
      </c>
      <c r="AP120" t="s">
        <v>115</v>
      </c>
    </row>
    <row r="121" spans="3:42" ht="12.75">
      <c r="C121" s="314">
        <v>1656</v>
      </c>
      <c r="D121" s="316">
        <f t="shared" si="28"/>
        <v>0.8500000000000005</v>
      </c>
      <c r="E121" s="314">
        <v>1439</v>
      </c>
      <c r="F121" s="51">
        <f t="shared" si="21"/>
        <v>0.8500000000000005</v>
      </c>
      <c r="G121" s="295">
        <f t="shared" si="22"/>
        <v>564</v>
      </c>
      <c r="H121" s="318">
        <f t="shared" si="23"/>
        <v>0.47000000000000025</v>
      </c>
      <c r="I121" s="295">
        <f t="shared" si="24"/>
        <v>752</v>
      </c>
      <c r="J121" s="318">
        <f t="shared" si="25"/>
        <v>0.47000000000000025</v>
      </c>
      <c r="K121" s="295">
        <f t="shared" si="26"/>
        <v>470</v>
      </c>
      <c r="L121" s="318">
        <f t="shared" si="27"/>
        <v>0.47000000000000025</v>
      </c>
      <c r="O121" s="384">
        <f t="shared" si="35"/>
        <v>19</v>
      </c>
      <c r="P121" s="386">
        <v>112.33</v>
      </c>
      <c r="Q121" s="173">
        <f t="shared" si="34"/>
        <v>224.66</v>
      </c>
      <c r="R121" s="378">
        <f t="shared" si="36"/>
        <v>19</v>
      </c>
      <c r="S121" s="373">
        <v>115.14</v>
      </c>
      <c r="T121" s="373">
        <f t="shared" si="37"/>
        <v>230.28</v>
      </c>
      <c r="U121" s="375">
        <f>S121*1.025</f>
        <v>118.01849999999999</v>
      </c>
      <c r="V121" s="369">
        <f t="shared" si="38"/>
        <v>236.03699999999998</v>
      </c>
      <c r="AO121" t="s">
        <v>180</v>
      </c>
      <c r="AP121" t="s">
        <v>346</v>
      </c>
    </row>
    <row r="122" spans="3:42" ht="12.75">
      <c r="C122" s="314">
        <v>1675</v>
      </c>
      <c r="D122" s="316">
        <f t="shared" si="28"/>
        <v>0.8600000000000005</v>
      </c>
      <c r="E122" s="314">
        <v>1454</v>
      </c>
      <c r="F122" s="51">
        <f t="shared" si="21"/>
        <v>0.8600000000000005</v>
      </c>
      <c r="G122" s="295">
        <f t="shared" si="22"/>
        <v>576</v>
      </c>
      <c r="H122" s="318">
        <f t="shared" si="23"/>
        <v>0.48000000000000026</v>
      </c>
      <c r="I122" s="295">
        <f t="shared" si="24"/>
        <v>768</v>
      </c>
      <c r="J122" s="318">
        <f t="shared" si="25"/>
        <v>0.48000000000000026</v>
      </c>
      <c r="K122" s="295">
        <f t="shared" si="26"/>
        <v>480</v>
      </c>
      <c r="L122" s="318">
        <f t="shared" si="27"/>
        <v>0.48000000000000026</v>
      </c>
      <c r="O122" s="384">
        <f t="shared" si="35"/>
        <v>20</v>
      </c>
      <c r="P122" s="386">
        <v>115.63</v>
      </c>
      <c r="Q122" s="173">
        <f t="shared" si="34"/>
        <v>231.26</v>
      </c>
      <c r="R122" s="378">
        <f t="shared" si="36"/>
        <v>20</v>
      </c>
      <c r="S122" s="373">
        <v>118.52</v>
      </c>
      <c r="T122" s="373">
        <f t="shared" si="37"/>
        <v>237.04</v>
      </c>
      <c r="U122" s="375">
        <v>121.49</v>
      </c>
      <c r="V122" s="369">
        <v>242.98</v>
      </c>
      <c r="AO122" t="s">
        <v>180</v>
      </c>
      <c r="AP122" t="s">
        <v>345</v>
      </c>
    </row>
    <row r="123" spans="3:42" ht="12.75">
      <c r="C123" s="314">
        <v>1694</v>
      </c>
      <c r="D123" s="316">
        <f t="shared" si="28"/>
        <v>0.8700000000000006</v>
      </c>
      <c r="E123" s="314">
        <v>1470</v>
      </c>
      <c r="F123" s="51">
        <f t="shared" si="21"/>
        <v>0.8700000000000006</v>
      </c>
      <c r="G123" s="295">
        <f t="shared" si="22"/>
        <v>588</v>
      </c>
      <c r="H123" s="318">
        <f t="shared" si="23"/>
        <v>0.49000000000000027</v>
      </c>
      <c r="I123" s="295">
        <f t="shared" si="24"/>
        <v>784</v>
      </c>
      <c r="J123" s="318">
        <f t="shared" si="25"/>
        <v>0.49000000000000027</v>
      </c>
      <c r="K123" s="295">
        <f t="shared" si="26"/>
        <v>490</v>
      </c>
      <c r="L123" s="318">
        <f t="shared" si="27"/>
        <v>0.49000000000000027</v>
      </c>
      <c r="O123" s="384">
        <f t="shared" si="35"/>
        <v>21</v>
      </c>
      <c r="P123" s="386">
        <v>118.93</v>
      </c>
      <c r="Q123" s="173">
        <f t="shared" si="34"/>
        <v>237.86</v>
      </c>
      <c r="R123" s="378">
        <f t="shared" si="36"/>
        <v>21</v>
      </c>
      <c r="S123" s="373">
        <v>121.9</v>
      </c>
      <c r="T123" s="373">
        <f t="shared" si="37"/>
        <v>243.8</v>
      </c>
      <c r="U123" s="375">
        <v>124.96</v>
      </c>
      <c r="V123" s="369">
        <f t="shared" si="38"/>
        <v>249.92</v>
      </c>
      <c r="AN123">
        <v>11.09</v>
      </c>
      <c r="AO123" t="s">
        <v>38</v>
      </c>
      <c r="AP123" t="s">
        <v>37</v>
      </c>
    </row>
    <row r="124" spans="3:42" ht="12.75">
      <c r="C124" s="314">
        <v>1713</v>
      </c>
      <c r="D124" s="316">
        <f t="shared" si="28"/>
        <v>0.8800000000000006</v>
      </c>
      <c r="E124" s="314">
        <v>1485</v>
      </c>
      <c r="F124" s="51">
        <f t="shared" si="21"/>
        <v>0.8800000000000006</v>
      </c>
      <c r="G124" s="295">
        <f t="shared" si="22"/>
        <v>600</v>
      </c>
      <c r="H124" s="318">
        <f t="shared" si="23"/>
        <v>0.5000000000000002</v>
      </c>
      <c r="I124" s="295">
        <f t="shared" si="24"/>
        <v>800</v>
      </c>
      <c r="J124" s="318">
        <f t="shared" si="25"/>
        <v>0.5000000000000002</v>
      </c>
      <c r="K124" s="295">
        <f t="shared" si="26"/>
        <v>500</v>
      </c>
      <c r="L124" s="318">
        <f t="shared" si="27"/>
        <v>0.5000000000000002</v>
      </c>
      <c r="O124" s="384">
        <f t="shared" si="35"/>
        <v>22</v>
      </c>
      <c r="P124" s="386">
        <v>122.25</v>
      </c>
      <c r="Q124" s="173">
        <f t="shared" si="34"/>
        <v>244.5</v>
      </c>
      <c r="R124" s="378">
        <f t="shared" si="36"/>
        <v>22</v>
      </c>
      <c r="S124" s="373">
        <v>125.31</v>
      </c>
      <c r="T124" s="373">
        <f t="shared" si="37"/>
        <v>250.62</v>
      </c>
      <c r="U124" s="375">
        <f>S124*1.025</f>
        <v>128.44275</v>
      </c>
      <c r="V124" s="369">
        <v>256.88</v>
      </c>
      <c r="AO124" t="s">
        <v>39</v>
      </c>
      <c r="AP124" s="126" t="s">
        <v>40</v>
      </c>
    </row>
    <row r="125" spans="3:42" ht="12.75">
      <c r="C125" s="314">
        <v>1732</v>
      </c>
      <c r="D125" s="316">
        <f t="shared" si="28"/>
        <v>0.8900000000000006</v>
      </c>
      <c r="E125" s="314">
        <v>1501</v>
      </c>
      <c r="F125" s="51">
        <f t="shared" si="21"/>
        <v>0.8900000000000006</v>
      </c>
      <c r="G125" s="295">
        <f t="shared" si="22"/>
        <v>612</v>
      </c>
      <c r="H125" s="318">
        <f t="shared" si="23"/>
        <v>0.5100000000000002</v>
      </c>
      <c r="I125" s="295">
        <f t="shared" si="24"/>
        <v>816</v>
      </c>
      <c r="J125" s="318">
        <f t="shared" si="25"/>
        <v>0.5100000000000002</v>
      </c>
      <c r="K125" s="295">
        <f t="shared" si="26"/>
        <v>510</v>
      </c>
      <c r="L125" s="318">
        <f t="shared" si="27"/>
        <v>0.5100000000000002</v>
      </c>
      <c r="O125" s="384">
        <f t="shared" si="35"/>
        <v>23</v>
      </c>
      <c r="P125" s="386">
        <v>125.55</v>
      </c>
      <c r="Q125" s="173">
        <f t="shared" si="34"/>
        <v>251.1</v>
      </c>
      <c r="R125" s="378">
        <f t="shared" si="36"/>
        <v>23</v>
      </c>
      <c r="S125" s="373">
        <v>128.69</v>
      </c>
      <c r="T125" s="373">
        <f t="shared" si="37"/>
        <v>257.38</v>
      </c>
      <c r="U125" s="375">
        <f>S125*1.025</f>
        <v>131.90724999999998</v>
      </c>
      <c r="V125" s="369">
        <v>263.82</v>
      </c>
      <c r="AO125" t="s">
        <v>309</v>
      </c>
      <c r="AP125" t="s">
        <v>41</v>
      </c>
    </row>
    <row r="126" spans="3:42" ht="12.75">
      <c r="C126" s="314">
        <v>1751</v>
      </c>
      <c r="D126" s="316">
        <f t="shared" si="28"/>
        <v>0.9000000000000006</v>
      </c>
      <c r="E126" s="314">
        <v>1517</v>
      </c>
      <c r="F126" s="51">
        <f t="shared" si="21"/>
        <v>0.9000000000000006</v>
      </c>
      <c r="G126" s="295">
        <f t="shared" si="22"/>
        <v>624</v>
      </c>
      <c r="H126" s="318">
        <f t="shared" si="23"/>
        <v>0.5200000000000002</v>
      </c>
      <c r="I126" s="295">
        <f t="shared" si="24"/>
        <v>832</v>
      </c>
      <c r="J126" s="318">
        <f t="shared" si="25"/>
        <v>0.5200000000000002</v>
      </c>
      <c r="K126" s="295">
        <f t="shared" si="26"/>
        <v>520</v>
      </c>
      <c r="L126" s="318">
        <f t="shared" si="27"/>
        <v>0.5200000000000002</v>
      </c>
      <c r="O126" s="384">
        <f t="shared" si="35"/>
        <v>24</v>
      </c>
      <c r="P126" s="386">
        <v>128.85</v>
      </c>
      <c r="Q126" s="173">
        <f t="shared" si="34"/>
        <v>257.7</v>
      </c>
      <c r="R126" s="378">
        <f t="shared" si="36"/>
        <v>24</v>
      </c>
      <c r="S126" s="373">
        <v>132.07</v>
      </c>
      <c r="T126" s="373">
        <f t="shared" si="37"/>
        <v>264.14</v>
      </c>
      <c r="U126" s="375">
        <v>135.38</v>
      </c>
      <c r="V126" s="369">
        <f t="shared" si="38"/>
        <v>270.76</v>
      </c>
      <c r="AO126" t="s">
        <v>180</v>
      </c>
      <c r="AP126" t="s">
        <v>42</v>
      </c>
    </row>
    <row r="127" spans="3:42" ht="12.75">
      <c r="C127" s="314">
        <v>1770</v>
      </c>
      <c r="D127" s="316">
        <f t="shared" si="28"/>
        <v>0.9100000000000006</v>
      </c>
      <c r="E127" s="314">
        <v>1532</v>
      </c>
      <c r="F127" s="51">
        <f t="shared" si="21"/>
        <v>0.9100000000000006</v>
      </c>
      <c r="G127" s="295">
        <f t="shared" si="22"/>
        <v>636</v>
      </c>
      <c r="H127" s="318">
        <f t="shared" si="23"/>
        <v>0.5300000000000002</v>
      </c>
      <c r="I127" s="295">
        <f t="shared" si="24"/>
        <v>848</v>
      </c>
      <c r="J127" s="318">
        <f t="shared" si="25"/>
        <v>0.5300000000000002</v>
      </c>
      <c r="K127" s="295">
        <f t="shared" si="26"/>
        <v>530</v>
      </c>
      <c r="L127" s="318">
        <f t="shared" si="27"/>
        <v>0.5300000000000002</v>
      </c>
      <c r="O127" s="384">
        <f t="shared" si="35"/>
        <v>25</v>
      </c>
      <c r="P127" s="386">
        <v>132.16</v>
      </c>
      <c r="Q127" s="173">
        <f t="shared" si="34"/>
        <v>264.32</v>
      </c>
      <c r="R127" s="378">
        <f t="shared" si="36"/>
        <v>25</v>
      </c>
      <c r="S127" s="373">
        <v>135.46</v>
      </c>
      <c r="T127" s="373">
        <f t="shared" si="37"/>
        <v>270.92</v>
      </c>
      <c r="U127" s="375">
        <f>S127*1.025</f>
        <v>138.8465</v>
      </c>
      <c r="V127" s="369">
        <v>277.7</v>
      </c>
      <c r="AO127" t="s">
        <v>180</v>
      </c>
      <c r="AP127" t="s">
        <v>43</v>
      </c>
    </row>
    <row r="128" spans="3:42" ht="12.75">
      <c r="C128" s="314">
        <v>1789</v>
      </c>
      <c r="D128" s="316">
        <f t="shared" si="28"/>
        <v>0.9200000000000006</v>
      </c>
      <c r="E128" s="314">
        <v>1548</v>
      </c>
      <c r="F128" s="51">
        <f t="shared" si="21"/>
        <v>0.9200000000000006</v>
      </c>
      <c r="G128" s="295">
        <f t="shared" si="22"/>
        <v>648</v>
      </c>
      <c r="H128" s="318">
        <f t="shared" si="23"/>
        <v>0.5400000000000003</v>
      </c>
      <c r="I128" s="295">
        <f t="shared" si="24"/>
        <v>864</v>
      </c>
      <c r="J128" s="318">
        <f t="shared" si="25"/>
        <v>0.5400000000000003</v>
      </c>
      <c r="K128" s="295">
        <f t="shared" si="26"/>
        <v>540</v>
      </c>
      <c r="L128" s="318">
        <f t="shared" si="27"/>
        <v>0.5400000000000003</v>
      </c>
      <c r="O128" s="384">
        <f t="shared" si="35"/>
        <v>26</v>
      </c>
      <c r="P128" s="386">
        <v>135.46</v>
      </c>
      <c r="Q128" s="173">
        <f t="shared" si="34"/>
        <v>270.92</v>
      </c>
      <c r="R128" s="378">
        <f t="shared" si="36"/>
        <v>26</v>
      </c>
      <c r="S128" s="373">
        <v>138.85</v>
      </c>
      <c r="T128" s="373">
        <f t="shared" si="37"/>
        <v>277.7</v>
      </c>
      <c r="U128" s="375">
        <v>142.31</v>
      </c>
      <c r="V128" s="369">
        <f t="shared" si="38"/>
        <v>284.62</v>
      </c>
      <c r="AO128" t="s">
        <v>180</v>
      </c>
      <c r="AP128" t="s">
        <v>44</v>
      </c>
    </row>
    <row r="129" spans="3:42" ht="12.75">
      <c r="C129" s="314">
        <v>1808</v>
      </c>
      <c r="D129" s="316">
        <f t="shared" si="28"/>
        <v>0.9300000000000006</v>
      </c>
      <c r="E129" s="314">
        <v>1564</v>
      </c>
      <c r="F129" s="51">
        <f t="shared" si="21"/>
        <v>0.9300000000000006</v>
      </c>
      <c r="G129" s="295">
        <f t="shared" si="22"/>
        <v>660</v>
      </c>
      <c r="H129" s="318">
        <f t="shared" si="23"/>
        <v>0.5500000000000003</v>
      </c>
      <c r="I129" s="295">
        <f t="shared" si="24"/>
        <v>880</v>
      </c>
      <c r="J129" s="318">
        <f t="shared" si="25"/>
        <v>0.5500000000000003</v>
      </c>
      <c r="K129" s="295">
        <f t="shared" si="26"/>
        <v>550</v>
      </c>
      <c r="L129" s="318">
        <f t="shared" si="27"/>
        <v>0.5500000000000003</v>
      </c>
      <c r="O129" s="384">
        <f t="shared" si="35"/>
        <v>27</v>
      </c>
      <c r="P129" s="386">
        <v>138.76</v>
      </c>
      <c r="Q129" s="173">
        <f t="shared" si="34"/>
        <v>277.52</v>
      </c>
      <c r="R129" s="378">
        <f t="shared" si="36"/>
        <v>27</v>
      </c>
      <c r="S129" s="373">
        <v>142.23</v>
      </c>
      <c r="T129" s="373">
        <f t="shared" si="37"/>
        <v>284.46</v>
      </c>
      <c r="U129" s="375">
        <v>145.78</v>
      </c>
      <c r="V129" s="369">
        <f t="shared" si="38"/>
        <v>291.56</v>
      </c>
      <c r="AO129" t="s">
        <v>180</v>
      </c>
      <c r="AP129" t="s">
        <v>205</v>
      </c>
    </row>
    <row r="130" spans="3:42" ht="12.75">
      <c r="C130" s="314">
        <v>1827</v>
      </c>
      <c r="D130" s="316">
        <f t="shared" si="28"/>
        <v>0.9400000000000006</v>
      </c>
      <c r="E130" s="314">
        <v>1579</v>
      </c>
      <c r="F130" s="51">
        <f aca="true" t="shared" si="39" ref="F130:F136">+F129+0.01</f>
        <v>0.9400000000000006</v>
      </c>
      <c r="G130" s="295">
        <f t="shared" si="22"/>
        <v>672</v>
      </c>
      <c r="H130" s="318">
        <f t="shared" si="23"/>
        <v>0.5600000000000003</v>
      </c>
      <c r="I130" s="295">
        <f t="shared" si="24"/>
        <v>896</v>
      </c>
      <c r="J130" s="318">
        <f t="shared" si="25"/>
        <v>0.5600000000000003</v>
      </c>
      <c r="K130" s="295">
        <f t="shared" si="26"/>
        <v>560</v>
      </c>
      <c r="L130" s="318">
        <f t="shared" si="27"/>
        <v>0.5600000000000003</v>
      </c>
      <c r="O130" s="384">
        <f t="shared" si="35"/>
        <v>28</v>
      </c>
      <c r="P130" s="386">
        <v>142.06</v>
      </c>
      <c r="Q130" s="173">
        <f t="shared" si="34"/>
        <v>284.12</v>
      </c>
      <c r="R130" s="378">
        <f t="shared" si="36"/>
        <v>28</v>
      </c>
      <c r="S130" s="373">
        <v>145.61</v>
      </c>
      <c r="T130" s="373">
        <f t="shared" si="37"/>
        <v>291.22</v>
      </c>
      <c r="U130" s="375">
        <v>149.25</v>
      </c>
      <c r="V130" s="369">
        <f t="shared" si="38"/>
        <v>298.5</v>
      </c>
      <c r="AN130">
        <v>11.1</v>
      </c>
      <c r="AO130" t="s">
        <v>180</v>
      </c>
      <c r="AP130" t="s">
        <v>382</v>
      </c>
    </row>
    <row r="131" spans="3:42" ht="12.75">
      <c r="C131" s="314">
        <v>1846</v>
      </c>
      <c r="D131" s="316">
        <f t="shared" si="28"/>
        <v>0.9500000000000006</v>
      </c>
      <c r="E131" s="314">
        <v>1595</v>
      </c>
      <c r="F131" s="51">
        <f t="shared" si="39"/>
        <v>0.9500000000000006</v>
      </c>
      <c r="G131" s="295">
        <f t="shared" si="22"/>
        <v>684</v>
      </c>
      <c r="H131" s="318">
        <f t="shared" si="23"/>
        <v>0.5700000000000003</v>
      </c>
      <c r="I131" s="295">
        <f t="shared" si="24"/>
        <v>912</v>
      </c>
      <c r="J131" s="318">
        <f t="shared" si="25"/>
        <v>0.5700000000000003</v>
      </c>
      <c r="K131" s="295">
        <f t="shared" si="26"/>
        <v>570</v>
      </c>
      <c r="L131" s="318">
        <f t="shared" si="27"/>
        <v>0.5700000000000003</v>
      </c>
      <c r="O131" s="384">
        <f t="shared" si="35"/>
        <v>29</v>
      </c>
      <c r="P131" s="386">
        <v>145.38</v>
      </c>
      <c r="Q131" s="173">
        <f t="shared" si="34"/>
        <v>290.76</v>
      </c>
      <c r="R131" s="378">
        <f t="shared" si="36"/>
        <v>29</v>
      </c>
      <c r="S131" s="373">
        <v>149.01</v>
      </c>
      <c r="T131" s="373">
        <f t="shared" si="37"/>
        <v>298.02</v>
      </c>
      <c r="U131" s="375">
        <f>S131*1.025</f>
        <v>152.73524999999998</v>
      </c>
      <c r="V131" s="369">
        <v>305.48</v>
      </c>
      <c r="AN131">
        <v>12</v>
      </c>
      <c r="AO131" t="s">
        <v>309</v>
      </c>
      <c r="AP131" s="45" t="s">
        <v>384</v>
      </c>
    </row>
    <row r="132" spans="3:42" ht="12.75">
      <c r="C132" s="314">
        <v>1865</v>
      </c>
      <c r="D132" s="316">
        <f t="shared" si="28"/>
        <v>0.9600000000000006</v>
      </c>
      <c r="E132" s="314">
        <v>1610</v>
      </c>
      <c r="F132" s="51">
        <f t="shared" si="39"/>
        <v>0.9600000000000006</v>
      </c>
      <c r="G132" s="295">
        <f t="shared" si="22"/>
        <v>696</v>
      </c>
      <c r="H132" s="318">
        <f t="shared" si="23"/>
        <v>0.5800000000000003</v>
      </c>
      <c r="I132" s="295">
        <f t="shared" si="24"/>
        <v>928</v>
      </c>
      <c r="J132" s="318">
        <f t="shared" si="25"/>
        <v>0.5800000000000003</v>
      </c>
      <c r="K132" s="295">
        <f t="shared" si="26"/>
        <v>580</v>
      </c>
      <c r="L132" s="318">
        <f t="shared" si="27"/>
        <v>0.5800000000000003</v>
      </c>
      <c r="O132" s="384">
        <f t="shared" si="35"/>
        <v>30</v>
      </c>
      <c r="P132" s="386">
        <v>148.68</v>
      </c>
      <c r="Q132" s="173">
        <f t="shared" si="34"/>
        <v>297.36</v>
      </c>
      <c r="R132" s="378">
        <f t="shared" si="36"/>
        <v>30</v>
      </c>
      <c r="S132" s="373">
        <v>152.4</v>
      </c>
      <c r="T132" s="373">
        <f t="shared" si="37"/>
        <v>304.8</v>
      </c>
      <c r="U132" s="375">
        <v>156.2</v>
      </c>
      <c r="V132" s="369">
        <f t="shared" si="38"/>
        <v>312.4</v>
      </c>
      <c r="AO132" s="45" t="s">
        <v>180</v>
      </c>
      <c r="AP132" s="45" t="s">
        <v>385</v>
      </c>
    </row>
    <row r="133" spans="3:42" ht="12.75">
      <c r="C133" s="314">
        <v>1884</v>
      </c>
      <c r="D133" s="316">
        <f t="shared" si="28"/>
        <v>0.9700000000000006</v>
      </c>
      <c r="E133" s="314">
        <v>1626</v>
      </c>
      <c r="F133" s="51">
        <f t="shared" si="39"/>
        <v>0.9700000000000006</v>
      </c>
      <c r="G133" s="295">
        <f t="shared" si="22"/>
        <v>708</v>
      </c>
      <c r="H133" s="318">
        <f t="shared" si="23"/>
        <v>0.5900000000000003</v>
      </c>
      <c r="I133" s="295">
        <f t="shared" si="24"/>
        <v>944</v>
      </c>
      <c r="J133" s="318">
        <f t="shared" si="25"/>
        <v>0.5900000000000003</v>
      </c>
      <c r="K133" s="295">
        <f t="shared" si="26"/>
        <v>590</v>
      </c>
      <c r="L133" s="318">
        <f t="shared" si="27"/>
        <v>0.5900000000000003</v>
      </c>
      <c r="O133" s="384">
        <f t="shared" si="35"/>
        <v>31</v>
      </c>
      <c r="P133" s="386">
        <v>151.98</v>
      </c>
      <c r="Q133" s="173">
        <f t="shared" si="34"/>
        <v>303.96</v>
      </c>
      <c r="R133" s="378">
        <f t="shared" si="36"/>
        <v>31</v>
      </c>
      <c r="S133" s="373">
        <v>155.78</v>
      </c>
      <c r="T133" s="373">
        <f t="shared" si="37"/>
        <v>311.56</v>
      </c>
      <c r="U133" s="375">
        <f>S133*1.025</f>
        <v>159.6745</v>
      </c>
      <c r="V133" s="369">
        <v>319.34</v>
      </c>
      <c r="AO133" s="45" t="s">
        <v>180</v>
      </c>
      <c r="AP133" s="45" t="s">
        <v>386</v>
      </c>
    </row>
    <row r="134" spans="3:42" ht="12.75">
      <c r="C134" s="314">
        <v>1903</v>
      </c>
      <c r="D134" s="316">
        <f t="shared" si="28"/>
        <v>0.9800000000000006</v>
      </c>
      <c r="E134" s="314">
        <v>1642</v>
      </c>
      <c r="F134" s="51">
        <f t="shared" si="39"/>
        <v>0.9800000000000006</v>
      </c>
      <c r="G134" s="295">
        <f t="shared" si="22"/>
        <v>720</v>
      </c>
      <c r="H134" s="318">
        <f t="shared" si="23"/>
        <v>0.6000000000000003</v>
      </c>
      <c r="I134" s="295">
        <f t="shared" si="24"/>
        <v>960</v>
      </c>
      <c r="J134" s="318">
        <f t="shared" si="25"/>
        <v>0.6000000000000003</v>
      </c>
      <c r="K134" s="295">
        <f t="shared" si="26"/>
        <v>600</v>
      </c>
      <c r="L134" s="318">
        <f t="shared" si="27"/>
        <v>0.6000000000000003</v>
      </c>
      <c r="O134" s="384">
        <f t="shared" si="35"/>
        <v>32</v>
      </c>
      <c r="P134" s="386">
        <v>155.28</v>
      </c>
      <c r="Q134" s="173">
        <f t="shared" si="34"/>
        <v>310.56</v>
      </c>
      <c r="R134" s="378">
        <f t="shared" si="36"/>
        <v>32</v>
      </c>
      <c r="S134" s="373">
        <v>159.16</v>
      </c>
      <c r="T134" s="373">
        <f t="shared" si="37"/>
        <v>318.32</v>
      </c>
      <c r="U134" s="375">
        <f>S134*1.025</f>
        <v>163.13899999999998</v>
      </c>
      <c r="V134" s="369">
        <f t="shared" si="38"/>
        <v>326.27799999999996</v>
      </c>
      <c r="AO134" s="45" t="s">
        <v>309</v>
      </c>
      <c r="AP134" s="45" t="s">
        <v>387</v>
      </c>
    </row>
    <row r="135" spans="3:42" ht="12.75">
      <c r="C135" s="314">
        <v>1922</v>
      </c>
      <c r="D135" s="316">
        <f t="shared" si="28"/>
        <v>0.9900000000000007</v>
      </c>
      <c r="E135" s="314">
        <v>1657</v>
      </c>
      <c r="F135" s="51">
        <f t="shared" si="39"/>
        <v>0.9900000000000007</v>
      </c>
      <c r="G135" s="295">
        <f t="shared" si="22"/>
        <v>732</v>
      </c>
      <c r="H135" s="318">
        <f t="shared" si="23"/>
        <v>0.6100000000000003</v>
      </c>
      <c r="I135" s="295">
        <f t="shared" si="24"/>
        <v>976</v>
      </c>
      <c r="J135" s="318">
        <f t="shared" si="25"/>
        <v>0.6100000000000003</v>
      </c>
      <c r="K135" s="295">
        <f t="shared" si="26"/>
        <v>610</v>
      </c>
      <c r="L135" s="318">
        <f t="shared" si="27"/>
        <v>0.6100000000000003</v>
      </c>
      <c r="O135" s="384">
        <f t="shared" si="35"/>
        <v>33</v>
      </c>
      <c r="P135" s="386">
        <v>158.58</v>
      </c>
      <c r="Q135" s="173">
        <f t="shared" si="34"/>
        <v>317.16</v>
      </c>
      <c r="R135" s="378">
        <f t="shared" si="36"/>
        <v>33</v>
      </c>
      <c r="S135" s="373">
        <v>162.54</v>
      </c>
      <c r="T135" s="373">
        <f t="shared" si="37"/>
        <v>325.08</v>
      </c>
      <c r="U135" s="375">
        <v>166.61</v>
      </c>
      <c r="V135" s="369">
        <f t="shared" si="38"/>
        <v>333.22</v>
      </c>
      <c r="AO135" s="45" t="s">
        <v>309</v>
      </c>
      <c r="AP135" s="45" t="s">
        <v>388</v>
      </c>
    </row>
    <row r="136" spans="3:42" ht="13.5" thickBot="1">
      <c r="C136" s="315">
        <v>1950</v>
      </c>
      <c r="D136" s="317">
        <f t="shared" si="28"/>
        <v>1.0000000000000007</v>
      </c>
      <c r="E136" s="315">
        <v>1673</v>
      </c>
      <c r="F136" s="319">
        <f t="shared" si="39"/>
        <v>1.0000000000000007</v>
      </c>
      <c r="G136" s="295">
        <f t="shared" si="22"/>
        <v>744</v>
      </c>
      <c r="H136" s="318">
        <f t="shared" si="23"/>
        <v>0.6200000000000003</v>
      </c>
      <c r="I136" s="295">
        <f t="shared" si="24"/>
        <v>992</v>
      </c>
      <c r="J136" s="318">
        <f t="shared" si="25"/>
        <v>0.6200000000000003</v>
      </c>
      <c r="K136" s="295">
        <f t="shared" si="26"/>
        <v>620</v>
      </c>
      <c r="L136" s="318">
        <f t="shared" si="27"/>
        <v>0.6200000000000003</v>
      </c>
      <c r="O136" s="384">
        <f t="shared" si="35"/>
        <v>34</v>
      </c>
      <c r="P136" s="386">
        <v>161.89</v>
      </c>
      <c r="Q136" s="173">
        <f t="shared" si="34"/>
        <v>323.78</v>
      </c>
      <c r="R136" s="378">
        <f t="shared" si="36"/>
        <v>34</v>
      </c>
      <c r="S136" s="373">
        <v>165.94</v>
      </c>
      <c r="T136" s="373">
        <f t="shared" si="37"/>
        <v>331.88</v>
      </c>
      <c r="U136" s="375">
        <v>170.08</v>
      </c>
      <c r="V136" s="369">
        <f t="shared" si="38"/>
        <v>340.16</v>
      </c>
      <c r="AO136" t="s">
        <v>170</v>
      </c>
      <c r="AP136" t="s">
        <v>389</v>
      </c>
    </row>
    <row r="137" spans="7:42" ht="12.75">
      <c r="G137" s="295">
        <f t="shared" si="22"/>
        <v>756</v>
      </c>
      <c r="H137" s="318">
        <f t="shared" si="23"/>
        <v>0.6300000000000003</v>
      </c>
      <c r="I137" s="295">
        <f t="shared" si="24"/>
        <v>1008</v>
      </c>
      <c r="J137" s="318">
        <f t="shared" si="25"/>
        <v>0.6300000000000003</v>
      </c>
      <c r="K137" s="295">
        <f t="shared" si="26"/>
        <v>630</v>
      </c>
      <c r="L137" s="318">
        <f t="shared" si="27"/>
        <v>0.6300000000000003</v>
      </c>
      <c r="O137" s="384">
        <f t="shared" si="35"/>
        <v>35</v>
      </c>
      <c r="P137" s="386">
        <v>165.2</v>
      </c>
      <c r="Q137" s="173">
        <f t="shared" si="34"/>
        <v>330.4</v>
      </c>
      <c r="R137" s="378">
        <f t="shared" si="36"/>
        <v>35</v>
      </c>
      <c r="S137" s="373">
        <v>169.34</v>
      </c>
      <c r="T137" s="373">
        <f t="shared" si="37"/>
        <v>338.68</v>
      </c>
      <c r="U137" s="375">
        <v>173.56</v>
      </c>
      <c r="V137" s="369">
        <f t="shared" si="38"/>
        <v>347.12</v>
      </c>
      <c r="AO137" s="45" t="s">
        <v>180</v>
      </c>
      <c r="AP137" s="45" t="s">
        <v>393</v>
      </c>
    </row>
    <row r="138" spans="7:42" ht="13.5" thickBot="1">
      <c r="G138" s="295">
        <f t="shared" si="22"/>
        <v>768</v>
      </c>
      <c r="H138" s="318">
        <f t="shared" si="23"/>
        <v>0.6400000000000003</v>
      </c>
      <c r="I138" s="295">
        <f t="shared" si="24"/>
        <v>1024</v>
      </c>
      <c r="J138" s="318">
        <f t="shared" si="25"/>
        <v>0.6400000000000003</v>
      </c>
      <c r="K138" s="295">
        <f t="shared" si="26"/>
        <v>640</v>
      </c>
      <c r="L138" s="318">
        <f t="shared" si="27"/>
        <v>0.6400000000000003</v>
      </c>
      <c r="O138" s="384">
        <f t="shared" si="35"/>
        <v>36</v>
      </c>
      <c r="P138" s="386">
        <f aca="true" t="shared" si="40" ref="P138:P152">P137</f>
        <v>165.2</v>
      </c>
      <c r="Q138" s="173">
        <f t="shared" si="34"/>
        <v>330.4</v>
      </c>
      <c r="R138" s="378">
        <f t="shared" si="36"/>
        <v>36</v>
      </c>
      <c r="S138" s="372">
        <v>169.34</v>
      </c>
      <c r="T138" s="373">
        <f t="shared" si="37"/>
        <v>338.68</v>
      </c>
      <c r="U138" s="375">
        <v>173.56</v>
      </c>
      <c r="V138" s="369">
        <f t="shared" si="38"/>
        <v>347.12</v>
      </c>
      <c r="AO138" s="45" t="s">
        <v>394</v>
      </c>
      <c r="AP138" s="45" t="s">
        <v>395</v>
      </c>
    </row>
    <row r="139" spans="3:42" ht="13.5" thickBot="1">
      <c r="C139" s="533" t="s">
        <v>336</v>
      </c>
      <c r="D139" s="534"/>
      <c r="E139" s="535"/>
      <c r="G139" s="295">
        <f t="shared" si="22"/>
        <v>780</v>
      </c>
      <c r="H139" s="318">
        <f t="shared" si="23"/>
        <v>0.6500000000000004</v>
      </c>
      <c r="I139" s="295">
        <f t="shared" si="24"/>
        <v>1040</v>
      </c>
      <c r="J139" s="318">
        <f t="shared" si="25"/>
        <v>0.6500000000000004</v>
      </c>
      <c r="K139" s="295">
        <f t="shared" si="26"/>
        <v>650</v>
      </c>
      <c r="L139" s="318">
        <f t="shared" si="27"/>
        <v>0.6500000000000004</v>
      </c>
      <c r="O139" s="384">
        <f t="shared" si="35"/>
        <v>37</v>
      </c>
      <c r="P139" s="386">
        <f t="shared" si="40"/>
        <v>165.2</v>
      </c>
      <c r="Q139" s="173">
        <f t="shared" si="34"/>
        <v>330.4</v>
      </c>
      <c r="R139" s="378">
        <f t="shared" si="36"/>
        <v>37</v>
      </c>
      <c r="S139" s="372">
        <v>169.34</v>
      </c>
      <c r="T139" s="373">
        <f t="shared" si="37"/>
        <v>338.68</v>
      </c>
      <c r="U139" s="375">
        <v>173.56</v>
      </c>
      <c r="V139" s="369">
        <f t="shared" si="38"/>
        <v>347.12</v>
      </c>
      <c r="AO139" s="45" t="s">
        <v>180</v>
      </c>
      <c r="AP139" s="45" t="s">
        <v>396</v>
      </c>
    </row>
    <row r="140" spans="3:42" ht="12.75">
      <c r="C140" s="338">
        <v>0</v>
      </c>
      <c r="D140" s="341">
        <v>0</v>
      </c>
      <c r="E140" s="335">
        <v>0</v>
      </c>
      <c r="G140" s="295">
        <f aca="true" t="shared" si="41" ref="G140:G174">G139+12</f>
        <v>792</v>
      </c>
      <c r="H140" s="318">
        <f aca="true" t="shared" si="42" ref="H140:H173">+H139+0.01</f>
        <v>0.6600000000000004</v>
      </c>
      <c r="I140" s="295">
        <f aca="true" t="shared" si="43" ref="I140:I174">I139+16</f>
        <v>1056</v>
      </c>
      <c r="J140" s="318">
        <f aca="true" t="shared" si="44" ref="J140:J173">+J139+0.01</f>
        <v>0.6600000000000004</v>
      </c>
      <c r="K140" s="295">
        <f aca="true" t="shared" si="45" ref="K140:K174">K139+10</f>
        <v>660</v>
      </c>
      <c r="L140" s="318">
        <f aca="true" t="shared" si="46" ref="L140:L173">+L139+0.01</f>
        <v>0.6600000000000004</v>
      </c>
      <c r="O140" s="384">
        <f t="shared" si="35"/>
        <v>38</v>
      </c>
      <c r="P140" s="386">
        <f t="shared" si="40"/>
        <v>165.2</v>
      </c>
      <c r="Q140" s="173">
        <f t="shared" si="34"/>
        <v>330.4</v>
      </c>
      <c r="R140" s="378">
        <f t="shared" si="36"/>
        <v>38</v>
      </c>
      <c r="S140" s="372">
        <v>169.34</v>
      </c>
      <c r="T140" s="373">
        <f t="shared" si="37"/>
        <v>338.68</v>
      </c>
      <c r="U140" s="375">
        <v>173.56</v>
      </c>
      <c r="V140" s="369">
        <f t="shared" si="38"/>
        <v>347.12</v>
      </c>
      <c r="AN140">
        <v>12.01</v>
      </c>
      <c r="AO140" t="s">
        <v>309</v>
      </c>
      <c r="AP140" t="s">
        <v>397</v>
      </c>
    </row>
    <row r="141" spans="3:42" ht="12.75">
      <c r="C141" s="339">
        <v>0.5</v>
      </c>
      <c r="D141" s="342">
        <v>0.04</v>
      </c>
      <c r="E141" s="336">
        <v>0.5</v>
      </c>
      <c r="G141" s="295">
        <f t="shared" si="41"/>
        <v>804</v>
      </c>
      <c r="H141" s="318">
        <f t="shared" si="42"/>
        <v>0.6700000000000004</v>
      </c>
      <c r="I141" s="295">
        <f t="shared" si="43"/>
        <v>1072</v>
      </c>
      <c r="J141" s="318">
        <f t="shared" si="44"/>
        <v>0.6700000000000004</v>
      </c>
      <c r="K141" s="295">
        <f t="shared" si="45"/>
        <v>670</v>
      </c>
      <c r="L141" s="318">
        <f t="shared" si="46"/>
        <v>0.6700000000000004</v>
      </c>
      <c r="O141" s="384">
        <f t="shared" si="35"/>
        <v>39</v>
      </c>
      <c r="P141" s="386">
        <f t="shared" si="40"/>
        <v>165.2</v>
      </c>
      <c r="Q141" s="173">
        <f t="shared" si="34"/>
        <v>330.4</v>
      </c>
      <c r="R141" s="378">
        <f t="shared" si="36"/>
        <v>39</v>
      </c>
      <c r="S141" s="372">
        <v>169.34</v>
      </c>
      <c r="T141" s="373">
        <f t="shared" si="37"/>
        <v>338.68</v>
      </c>
      <c r="U141" s="375">
        <v>173.56</v>
      </c>
      <c r="V141" s="369">
        <f t="shared" si="38"/>
        <v>347.12</v>
      </c>
      <c r="AO141" s="45" t="s">
        <v>170</v>
      </c>
      <c r="AP141" s="45" t="s">
        <v>399</v>
      </c>
    </row>
    <row r="142" spans="3:42" ht="12.75">
      <c r="C142" s="339">
        <v>1</v>
      </c>
      <c r="D142" s="342">
        <v>0.08</v>
      </c>
      <c r="E142" s="336">
        <v>1</v>
      </c>
      <c r="G142" s="295">
        <f t="shared" si="41"/>
        <v>816</v>
      </c>
      <c r="H142" s="318">
        <f t="shared" si="42"/>
        <v>0.6800000000000004</v>
      </c>
      <c r="I142" s="295">
        <f t="shared" si="43"/>
        <v>1088</v>
      </c>
      <c r="J142" s="318">
        <f t="shared" si="44"/>
        <v>0.6800000000000004</v>
      </c>
      <c r="K142" s="295">
        <f t="shared" si="45"/>
        <v>680</v>
      </c>
      <c r="L142" s="318">
        <f t="shared" si="46"/>
        <v>0.6800000000000004</v>
      </c>
      <c r="O142" s="384">
        <f t="shared" si="35"/>
        <v>40</v>
      </c>
      <c r="P142" s="386">
        <f t="shared" si="40"/>
        <v>165.2</v>
      </c>
      <c r="Q142" s="173">
        <f t="shared" si="34"/>
        <v>330.4</v>
      </c>
      <c r="R142" s="378">
        <f t="shared" si="36"/>
        <v>40</v>
      </c>
      <c r="S142" s="372">
        <v>169.34</v>
      </c>
      <c r="T142" s="373">
        <f t="shared" si="37"/>
        <v>338.68</v>
      </c>
      <c r="U142" s="375">
        <v>173.56</v>
      </c>
      <c r="V142" s="369">
        <f t="shared" si="38"/>
        <v>347.12</v>
      </c>
      <c r="AN142">
        <v>12.02</v>
      </c>
      <c r="AO142" s="45" t="s">
        <v>394</v>
      </c>
      <c r="AP142" s="45" t="s">
        <v>400</v>
      </c>
    </row>
    <row r="143" spans="3:42" ht="12.75">
      <c r="C143" s="339">
        <v>1.5</v>
      </c>
      <c r="D143" s="342">
        <v>0.13</v>
      </c>
      <c r="E143" s="336">
        <v>1.5</v>
      </c>
      <c r="G143" s="295">
        <f t="shared" si="41"/>
        <v>828</v>
      </c>
      <c r="H143" s="318">
        <f t="shared" si="42"/>
        <v>0.6900000000000004</v>
      </c>
      <c r="I143" s="295">
        <f t="shared" si="43"/>
        <v>1104</v>
      </c>
      <c r="J143" s="318">
        <f t="shared" si="44"/>
        <v>0.6900000000000004</v>
      </c>
      <c r="K143" s="295">
        <f t="shared" si="45"/>
        <v>690</v>
      </c>
      <c r="L143" s="318">
        <f t="shared" si="46"/>
        <v>0.6900000000000004</v>
      </c>
      <c r="O143" s="384">
        <f t="shared" si="35"/>
        <v>41</v>
      </c>
      <c r="P143" s="386">
        <f t="shared" si="40"/>
        <v>165.2</v>
      </c>
      <c r="Q143" s="173">
        <f t="shared" si="34"/>
        <v>330.4</v>
      </c>
      <c r="R143" s="378">
        <f t="shared" si="36"/>
        <v>41</v>
      </c>
      <c r="S143" s="372">
        <v>169.34</v>
      </c>
      <c r="T143" s="373">
        <f t="shared" si="37"/>
        <v>338.68</v>
      </c>
      <c r="U143" s="375">
        <v>173.56</v>
      </c>
      <c r="V143" s="369">
        <f t="shared" si="38"/>
        <v>347.12</v>
      </c>
      <c r="AO143" s="45" t="s">
        <v>401</v>
      </c>
      <c r="AP143" s="45" t="s">
        <v>402</v>
      </c>
    </row>
    <row r="144" spans="3:42" ht="12.75">
      <c r="C144" s="339">
        <v>2</v>
      </c>
      <c r="D144" s="342">
        <v>0.17</v>
      </c>
      <c r="E144" s="336">
        <v>2</v>
      </c>
      <c r="G144" s="295">
        <f t="shared" si="41"/>
        <v>840</v>
      </c>
      <c r="H144" s="318">
        <f t="shared" si="42"/>
        <v>0.7000000000000004</v>
      </c>
      <c r="I144" s="295">
        <f t="shared" si="43"/>
        <v>1120</v>
      </c>
      <c r="J144" s="318">
        <f t="shared" si="44"/>
        <v>0.7000000000000004</v>
      </c>
      <c r="K144" s="295">
        <f t="shared" si="45"/>
        <v>700</v>
      </c>
      <c r="L144" s="318">
        <f t="shared" si="46"/>
        <v>0.7000000000000004</v>
      </c>
      <c r="O144" s="384">
        <f t="shared" si="35"/>
        <v>42</v>
      </c>
      <c r="P144" s="386">
        <f t="shared" si="40"/>
        <v>165.2</v>
      </c>
      <c r="Q144" s="173">
        <f t="shared" si="34"/>
        <v>330.4</v>
      </c>
      <c r="R144" s="378">
        <f t="shared" si="36"/>
        <v>42</v>
      </c>
      <c r="S144" s="372">
        <v>169.34</v>
      </c>
      <c r="T144" s="373">
        <f t="shared" si="37"/>
        <v>338.68</v>
      </c>
      <c r="U144" s="375">
        <v>173.56</v>
      </c>
      <c r="V144" s="369">
        <f t="shared" si="38"/>
        <v>347.12</v>
      </c>
      <c r="AO144" s="45" t="s">
        <v>180</v>
      </c>
      <c r="AP144" s="45" t="s">
        <v>403</v>
      </c>
    </row>
    <row r="145" spans="3:42" ht="12.75">
      <c r="C145" s="339">
        <v>2.5</v>
      </c>
      <c r="D145" s="342">
        <v>0.21</v>
      </c>
      <c r="E145" s="336">
        <v>2.5</v>
      </c>
      <c r="G145" s="295">
        <f t="shared" si="41"/>
        <v>852</v>
      </c>
      <c r="H145" s="318">
        <f t="shared" si="42"/>
        <v>0.7100000000000004</v>
      </c>
      <c r="I145" s="295">
        <f t="shared" si="43"/>
        <v>1136</v>
      </c>
      <c r="J145" s="318">
        <f t="shared" si="44"/>
        <v>0.7100000000000004</v>
      </c>
      <c r="K145" s="295">
        <f t="shared" si="45"/>
        <v>710</v>
      </c>
      <c r="L145" s="318">
        <f t="shared" si="46"/>
        <v>0.7100000000000004</v>
      </c>
      <c r="O145" s="384">
        <f t="shared" si="35"/>
        <v>43</v>
      </c>
      <c r="P145" s="386">
        <f t="shared" si="40"/>
        <v>165.2</v>
      </c>
      <c r="Q145" s="173">
        <f t="shared" si="34"/>
        <v>330.4</v>
      </c>
      <c r="R145" s="378">
        <f t="shared" si="36"/>
        <v>43</v>
      </c>
      <c r="S145" s="372">
        <v>169.34</v>
      </c>
      <c r="T145" s="373">
        <f t="shared" si="37"/>
        <v>338.68</v>
      </c>
      <c r="U145" s="375">
        <v>173.56</v>
      </c>
      <c r="V145" s="369">
        <f t="shared" si="38"/>
        <v>347.12</v>
      </c>
      <c r="AO145" s="45" t="s">
        <v>180</v>
      </c>
      <c r="AP145" s="45" t="s">
        <v>404</v>
      </c>
    </row>
    <row r="146" spans="3:42" ht="12.75">
      <c r="C146" s="339">
        <v>3</v>
      </c>
      <c r="D146" s="342">
        <v>0.25</v>
      </c>
      <c r="E146" s="336">
        <v>3</v>
      </c>
      <c r="G146" s="295">
        <f t="shared" si="41"/>
        <v>864</v>
      </c>
      <c r="H146" s="318">
        <f t="shared" si="42"/>
        <v>0.7200000000000004</v>
      </c>
      <c r="I146" s="295">
        <f t="shared" si="43"/>
        <v>1152</v>
      </c>
      <c r="J146" s="318">
        <f t="shared" si="44"/>
        <v>0.7200000000000004</v>
      </c>
      <c r="K146" s="295">
        <f t="shared" si="45"/>
        <v>720</v>
      </c>
      <c r="L146" s="318">
        <f t="shared" si="46"/>
        <v>0.7200000000000004</v>
      </c>
      <c r="O146" s="384">
        <f t="shared" si="35"/>
        <v>44</v>
      </c>
      <c r="P146" s="386">
        <f t="shared" si="40"/>
        <v>165.2</v>
      </c>
      <c r="Q146" s="173">
        <f t="shared" si="34"/>
        <v>330.4</v>
      </c>
      <c r="R146" s="378">
        <f t="shared" si="36"/>
        <v>44</v>
      </c>
      <c r="S146" s="372">
        <v>169.34</v>
      </c>
      <c r="T146" s="373">
        <f t="shared" si="37"/>
        <v>338.68</v>
      </c>
      <c r="U146" s="375">
        <v>173.56</v>
      </c>
      <c r="V146" s="369">
        <f t="shared" si="38"/>
        <v>347.12</v>
      </c>
      <c r="AO146" s="45" t="s">
        <v>180</v>
      </c>
      <c r="AP146" s="45" t="s">
        <v>405</v>
      </c>
    </row>
    <row r="147" spans="3:42" ht="12.75">
      <c r="C147" s="339">
        <v>3.5</v>
      </c>
      <c r="D147" s="342">
        <v>0.29</v>
      </c>
      <c r="E147" s="336">
        <v>3.5</v>
      </c>
      <c r="G147" s="295">
        <f t="shared" si="41"/>
        <v>876</v>
      </c>
      <c r="H147" s="318">
        <f t="shared" si="42"/>
        <v>0.7300000000000004</v>
      </c>
      <c r="I147" s="295">
        <f t="shared" si="43"/>
        <v>1168</v>
      </c>
      <c r="J147" s="318">
        <f t="shared" si="44"/>
        <v>0.7300000000000004</v>
      </c>
      <c r="K147" s="295">
        <f t="shared" si="45"/>
        <v>730</v>
      </c>
      <c r="L147" s="318">
        <f t="shared" si="46"/>
        <v>0.7300000000000004</v>
      </c>
      <c r="O147" s="384">
        <f t="shared" si="35"/>
        <v>45</v>
      </c>
      <c r="P147" s="386">
        <f t="shared" si="40"/>
        <v>165.2</v>
      </c>
      <c r="Q147" s="173">
        <f t="shared" si="34"/>
        <v>330.4</v>
      </c>
      <c r="R147" s="378">
        <f t="shared" si="36"/>
        <v>45</v>
      </c>
      <c r="S147" s="372">
        <v>169.34</v>
      </c>
      <c r="T147" s="373">
        <f t="shared" si="37"/>
        <v>338.68</v>
      </c>
      <c r="U147" s="375">
        <v>173.56</v>
      </c>
      <c r="V147" s="369">
        <f t="shared" si="38"/>
        <v>347.12</v>
      </c>
      <c r="AO147" s="45" t="s">
        <v>309</v>
      </c>
      <c r="AP147" s="45" t="s">
        <v>406</v>
      </c>
    </row>
    <row r="148" spans="3:42" ht="12.75">
      <c r="C148" s="339">
        <v>4</v>
      </c>
      <c r="D148" s="342">
        <v>0.33</v>
      </c>
      <c r="E148" s="336">
        <v>4</v>
      </c>
      <c r="G148" s="295">
        <f t="shared" si="41"/>
        <v>888</v>
      </c>
      <c r="H148" s="318">
        <f t="shared" si="42"/>
        <v>0.7400000000000004</v>
      </c>
      <c r="I148" s="295">
        <f t="shared" si="43"/>
        <v>1184</v>
      </c>
      <c r="J148" s="318">
        <f t="shared" si="44"/>
        <v>0.7400000000000004</v>
      </c>
      <c r="K148" s="295">
        <f t="shared" si="45"/>
        <v>740</v>
      </c>
      <c r="L148" s="318">
        <f t="shared" si="46"/>
        <v>0.7400000000000004</v>
      </c>
      <c r="O148" s="384">
        <f t="shared" si="35"/>
        <v>46</v>
      </c>
      <c r="P148" s="386">
        <f t="shared" si="40"/>
        <v>165.2</v>
      </c>
      <c r="Q148" s="173">
        <f t="shared" si="34"/>
        <v>330.4</v>
      </c>
      <c r="R148" s="378">
        <f t="shared" si="36"/>
        <v>46</v>
      </c>
      <c r="S148" s="372">
        <v>169.34</v>
      </c>
      <c r="T148" s="373">
        <f t="shared" si="37"/>
        <v>338.68</v>
      </c>
      <c r="U148" s="375">
        <v>173.56</v>
      </c>
      <c r="V148" s="369">
        <f t="shared" si="38"/>
        <v>347.12</v>
      </c>
      <c r="AO148" s="45" t="s">
        <v>309</v>
      </c>
      <c r="AP148" s="45" t="s">
        <v>407</v>
      </c>
    </row>
    <row r="149" spans="3:42" ht="12.75">
      <c r="C149" s="339">
        <v>4.5</v>
      </c>
      <c r="D149" s="342">
        <v>0.38</v>
      </c>
      <c r="E149" s="336">
        <v>4.5</v>
      </c>
      <c r="G149" s="295">
        <f t="shared" si="41"/>
        <v>900</v>
      </c>
      <c r="H149" s="318">
        <f t="shared" si="42"/>
        <v>0.7500000000000004</v>
      </c>
      <c r="I149" s="295">
        <f t="shared" si="43"/>
        <v>1200</v>
      </c>
      <c r="J149" s="318">
        <f t="shared" si="44"/>
        <v>0.7500000000000004</v>
      </c>
      <c r="K149" s="295">
        <f t="shared" si="45"/>
        <v>750</v>
      </c>
      <c r="L149" s="318">
        <f t="shared" si="46"/>
        <v>0.7500000000000004</v>
      </c>
      <c r="O149" s="384">
        <f t="shared" si="35"/>
        <v>47</v>
      </c>
      <c r="P149" s="386">
        <f t="shared" si="40"/>
        <v>165.2</v>
      </c>
      <c r="Q149" s="173">
        <f t="shared" si="34"/>
        <v>330.4</v>
      </c>
      <c r="R149" s="378">
        <f t="shared" si="36"/>
        <v>47</v>
      </c>
      <c r="S149" s="372">
        <v>169.34</v>
      </c>
      <c r="T149" s="373">
        <f t="shared" si="37"/>
        <v>338.68</v>
      </c>
      <c r="U149" s="375">
        <v>173.56</v>
      </c>
      <c r="V149" s="369">
        <f t="shared" si="38"/>
        <v>347.12</v>
      </c>
      <c r="AN149">
        <v>12.03</v>
      </c>
      <c r="AO149" t="s">
        <v>180</v>
      </c>
      <c r="AP149" t="s">
        <v>408</v>
      </c>
    </row>
    <row r="150" spans="3:42" ht="12.75">
      <c r="C150" s="339">
        <v>5</v>
      </c>
      <c r="D150" s="342">
        <v>0.42</v>
      </c>
      <c r="E150" s="336">
        <v>5</v>
      </c>
      <c r="G150" s="295">
        <f t="shared" si="41"/>
        <v>912</v>
      </c>
      <c r="H150" s="318">
        <f t="shared" si="42"/>
        <v>0.7600000000000005</v>
      </c>
      <c r="I150" s="295">
        <f t="shared" si="43"/>
        <v>1216</v>
      </c>
      <c r="J150" s="318">
        <f t="shared" si="44"/>
        <v>0.7600000000000005</v>
      </c>
      <c r="K150" s="295">
        <f t="shared" si="45"/>
        <v>760</v>
      </c>
      <c r="L150" s="318">
        <f t="shared" si="46"/>
        <v>0.7600000000000005</v>
      </c>
      <c r="O150" s="384">
        <f t="shared" si="35"/>
        <v>48</v>
      </c>
      <c r="P150" s="386">
        <f t="shared" si="40"/>
        <v>165.2</v>
      </c>
      <c r="Q150" s="173">
        <f t="shared" si="34"/>
        <v>330.4</v>
      </c>
      <c r="R150" s="378">
        <f t="shared" si="36"/>
        <v>48</v>
      </c>
      <c r="S150" s="372">
        <v>169.34</v>
      </c>
      <c r="T150" s="373">
        <f t="shared" si="37"/>
        <v>338.68</v>
      </c>
      <c r="U150" s="375">
        <v>173.56</v>
      </c>
      <c r="V150" s="369">
        <f t="shared" si="38"/>
        <v>347.12</v>
      </c>
      <c r="AO150" s="45" t="s">
        <v>180</v>
      </c>
      <c r="AP150" t="s">
        <v>409</v>
      </c>
    </row>
    <row r="151" spans="3:42" ht="12.75">
      <c r="C151" s="339">
        <v>5.5</v>
      </c>
      <c r="D151" s="342">
        <v>0.46</v>
      </c>
      <c r="E151" s="336">
        <v>5.5</v>
      </c>
      <c r="G151" s="295">
        <f t="shared" si="41"/>
        <v>924</v>
      </c>
      <c r="H151" s="318">
        <f t="shared" si="42"/>
        <v>0.7700000000000005</v>
      </c>
      <c r="I151" s="295">
        <f t="shared" si="43"/>
        <v>1232</v>
      </c>
      <c r="J151" s="318">
        <f t="shared" si="44"/>
        <v>0.7700000000000005</v>
      </c>
      <c r="K151" s="295">
        <f t="shared" si="45"/>
        <v>770</v>
      </c>
      <c r="L151" s="318">
        <f t="shared" si="46"/>
        <v>0.7700000000000005</v>
      </c>
      <c r="O151" s="384">
        <f t="shared" si="35"/>
        <v>49</v>
      </c>
      <c r="P151" s="386">
        <f t="shared" si="40"/>
        <v>165.2</v>
      </c>
      <c r="Q151" s="173">
        <f t="shared" si="34"/>
        <v>330.4</v>
      </c>
      <c r="R151" s="378">
        <f t="shared" si="36"/>
        <v>49</v>
      </c>
      <c r="S151" s="372">
        <v>169.34</v>
      </c>
      <c r="T151" s="373">
        <f t="shared" si="37"/>
        <v>338.68</v>
      </c>
      <c r="U151" s="375">
        <v>173.56</v>
      </c>
      <c r="V151" s="369">
        <f t="shared" si="38"/>
        <v>347.12</v>
      </c>
      <c r="AO151" s="45" t="s">
        <v>180</v>
      </c>
      <c r="AP151" t="s">
        <v>410</v>
      </c>
    </row>
    <row r="152" spans="3:42" ht="13.5" thickBot="1">
      <c r="C152" s="339">
        <v>6</v>
      </c>
      <c r="D152" s="342">
        <v>0.5</v>
      </c>
      <c r="E152" s="336">
        <v>6</v>
      </c>
      <c r="G152" s="295">
        <f t="shared" si="41"/>
        <v>936</v>
      </c>
      <c r="H152" s="318">
        <f t="shared" si="42"/>
        <v>0.7800000000000005</v>
      </c>
      <c r="I152" s="295">
        <f t="shared" si="43"/>
        <v>1248</v>
      </c>
      <c r="J152" s="318">
        <f t="shared" si="44"/>
        <v>0.7800000000000005</v>
      </c>
      <c r="K152" s="295">
        <f t="shared" si="45"/>
        <v>780</v>
      </c>
      <c r="L152" s="318">
        <f t="shared" si="46"/>
        <v>0.7800000000000005</v>
      </c>
      <c r="O152" s="385">
        <f t="shared" si="35"/>
        <v>50</v>
      </c>
      <c r="P152" s="387">
        <f t="shared" si="40"/>
        <v>165.2</v>
      </c>
      <c r="Q152" s="370">
        <f t="shared" si="34"/>
        <v>330.4</v>
      </c>
      <c r="R152" s="379">
        <f t="shared" si="36"/>
        <v>50</v>
      </c>
      <c r="S152" s="377">
        <v>169.34</v>
      </c>
      <c r="T152" s="374">
        <f t="shared" si="37"/>
        <v>338.68</v>
      </c>
      <c r="U152" s="376">
        <v>173.56</v>
      </c>
      <c r="V152" s="186">
        <f>U152*2</f>
        <v>347.12</v>
      </c>
      <c r="AO152" s="45" t="s">
        <v>180</v>
      </c>
      <c r="AP152" t="s">
        <v>411</v>
      </c>
    </row>
    <row r="153" spans="3:42" ht="12.75">
      <c r="C153" s="339">
        <v>6.5</v>
      </c>
      <c r="D153" s="342">
        <v>0.55</v>
      </c>
      <c r="E153" s="336">
        <v>6.5</v>
      </c>
      <c r="G153" s="295">
        <f t="shared" si="41"/>
        <v>948</v>
      </c>
      <c r="H153" s="318">
        <f t="shared" si="42"/>
        <v>0.7900000000000005</v>
      </c>
      <c r="I153" s="295">
        <f t="shared" si="43"/>
        <v>1264</v>
      </c>
      <c r="J153" s="318">
        <f t="shared" si="44"/>
        <v>0.7900000000000005</v>
      </c>
      <c r="K153" s="295">
        <f t="shared" si="45"/>
        <v>790</v>
      </c>
      <c r="L153" s="318">
        <f t="shared" si="46"/>
        <v>0.7900000000000005</v>
      </c>
      <c r="AO153" s="45" t="s">
        <v>309</v>
      </c>
      <c r="AP153" s="45" t="s">
        <v>416</v>
      </c>
    </row>
    <row r="154" spans="3:42" ht="12.75">
      <c r="C154" s="339">
        <v>7</v>
      </c>
      <c r="D154" s="342">
        <v>0.58</v>
      </c>
      <c r="E154" s="336">
        <v>7</v>
      </c>
      <c r="G154" s="295">
        <f t="shared" si="41"/>
        <v>960</v>
      </c>
      <c r="H154" s="318">
        <f t="shared" si="42"/>
        <v>0.8000000000000005</v>
      </c>
      <c r="I154" s="295">
        <f t="shared" si="43"/>
        <v>1280</v>
      </c>
      <c r="J154" s="318">
        <f t="shared" si="44"/>
        <v>0.8000000000000005</v>
      </c>
      <c r="K154" s="295">
        <f t="shared" si="45"/>
        <v>800</v>
      </c>
      <c r="L154" s="318">
        <f t="shared" si="46"/>
        <v>0.8000000000000005</v>
      </c>
      <c r="AM154" s="45"/>
      <c r="AN154">
        <v>12.04</v>
      </c>
      <c r="AO154" s="45" t="s">
        <v>170</v>
      </c>
      <c r="AP154" s="45" t="s">
        <v>424</v>
      </c>
    </row>
    <row r="155" spans="3:42" ht="12.75">
      <c r="C155" s="339">
        <v>7.5</v>
      </c>
      <c r="D155" s="342">
        <v>0.63</v>
      </c>
      <c r="E155" s="336">
        <v>7.5</v>
      </c>
      <c r="G155" s="295">
        <f t="shared" si="41"/>
        <v>972</v>
      </c>
      <c r="H155" s="318">
        <f t="shared" si="42"/>
        <v>0.8100000000000005</v>
      </c>
      <c r="I155" s="295">
        <f t="shared" si="43"/>
        <v>1296</v>
      </c>
      <c r="J155" s="318">
        <f t="shared" si="44"/>
        <v>0.8100000000000005</v>
      </c>
      <c r="K155" s="295">
        <f t="shared" si="45"/>
        <v>810</v>
      </c>
      <c r="L155" s="318">
        <f t="shared" si="46"/>
        <v>0.8100000000000005</v>
      </c>
      <c r="AO155" t="s">
        <v>180</v>
      </c>
      <c r="AP155" t="s">
        <v>417</v>
      </c>
    </row>
    <row r="156" spans="3:42" ht="12.75">
      <c r="C156" s="339">
        <v>8</v>
      </c>
      <c r="D156" s="342">
        <v>0.67</v>
      </c>
      <c r="E156" s="336">
        <v>8</v>
      </c>
      <c r="G156" s="295">
        <f t="shared" si="41"/>
        <v>984</v>
      </c>
      <c r="H156" s="318">
        <f t="shared" si="42"/>
        <v>0.8200000000000005</v>
      </c>
      <c r="I156" s="295">
        <f t="shared" si="43"/>
        <v>1312</v>
      </c>
      <c r="J156" s="318">
        <f t="shared" si="44"/>
        <v>0.8200000000000005</v>
      </c>
      <c r="K156" s="295">
        <f t="shared" si="45"/>
        <v>820</v>
      </c>
      <c r="L156" s="318">
        <f t="shared" si="46"/>
        <v>0.8200000000000005</v>
      </c>
      <c r="AO156" t="s">
        <v>180</v>
      </c>
      <c r="AP156" t="s">
        <v>418</v>
      </c>
    </row>
    <row r="157" spans="3:42" ht="12.75">
      <c r="C157" s="339">
        <v>8.5</v>
      </c>
      <c r="D157" s="342">
        <v>0.71</v>
      </c>
      <c r="E157" s="336">
        <v>8.5</v>
      </c>
      <c r="G157" s="295">
        <f t="shared" si="41"/>
        <v>996</v>
      </c>
      <c r="H157" s="318">
        <f t="shared" si="42"/>
        <v>0.8300000000000005</v>
      </c>
      <c r="I157" s="295">
        <f t="shared" si="43"/>
        <v>1328</v>
      </c>
      <c r="J157" s="318">
        <f t="shared" si="44"/>
        <v>0.8300000000000005</v>
      </c>
      <c r="K157" s="295">
        <f t="shared" si="45"/>
        <v>830</v>
      </c>
      <c r="L157" s="318">
        <f t="shared" si="46"/>
        <v>0.8300000000000005</v>
      </c>
      <c r="AO157" t="s">
        <v>180</v>
      </c>
      <c r="AP157" t="s">
        <v>419</v>
      </c>
    </row>
    <row r="158" spans="3:42" ht="12.75">
      <c r="C158" s="339">
        <v>9</v>
      </c>
      <c r="D158" s="343">
        <v>0.75</v>
      </c>
      <c r="E158" s="336">
        <v>9</v>
      </c>
      <c r="G158" s="295">
        <f t="shared" si="41"/>
        <v>1008</v>
      </c>
      <c r="H158" s="318">
        <f t="shared" si="42"/>
        <v>0.8400000000000005</v>
      </c>
      <c r="I158" s="295">
        <f t="shared" si="43"/>
        <v>1344</v>
      </c>
      <c r="J158" s="318">
        <f t="shared" si="44"/>
        <v>0.8400000000000005</v>
      </c>
      <c r="K158" s="295">
        <f t="shared" si="45"/>
        <v>840</v>
      </c>
      <c r="L158" s="318">
        <f t="shared" si="46"/>
        <v>0.8400000000000005</v>
      </c>
      <c r="AO158" t="s">
        <v>180</v>
      </c>
      <c r="AP158" t="s">
        <v>420</v>
      </c>
    </row>
    <row r="159" spans="3:42" ht="12.75">
      <c r="C159" s="339">
        <v>9.5</v>
      </c>
      <c r="D159" s="342">
        <v>0.79</v>
      </c>
      <c r="E159" s="336">
        <v>9.5</v>
      </c>
      <c r="G159" s="295">
        <f t="shared" si="41"/>
        <v>1020</v>
      </c>
      <c r="H159" s="318">
        <f t="shared" si="42"/>
        <v>0.8500000000000005</v>
      </c>
      <c r="I159" s="295">
        <f t="shared" si="43"/>
        <v>1360</v>
      </c>
      <c r="J159" s="318">
        <f t="shared" si="44"/>
        <v>0.8500000000000005</v>
      </c>
      <c r="K159" s="295">
        <f t="shared" si="45"/>
        <v>850</v>
      </c>
      <c r="L159" s="318">
        <f t="shared" si="46"/>
        <v>0.8500000000000005</v>
      </c>
      <c r="AO159" t="s">
        <v>180</v>
      </c>
      <c r="AP159" t="s">
        <v>421</v>
      </c>
    </row>
    <row r="160" spans="3:42" ht="12.75">
      <c r="C160" s="339">
        <v>10</v>
      </c>
      <c r="D160" s="342">
        <v>0.83</v>
      </c>
      <c r="E160" s="336">
        <v>10</v>
      </c>
      <c r="G160" s="295">
        <f t="shared" si="41"/>
        <v>1032</v>
      </c>
      <c r="H160" s="318">
        <f t="shared" si="42"/>
        <v>0.8600000000000005</v>
      </c>
      <c r="I160" s="295">
        <f t="shared" si="43"/>
        <v>1376</v>
      </c>
      <c r="J160" s="318">
        <f t="shared" si="44"/>
        <v>0.8600000000000005</v>
      </c>
      <c r="K160" s="295">
        <f t="shared" si="45"/>
        <v>860</v>
      </c>
      <c r="L160" s="318">
        <f t="shared" si="46"/>
        <v>0.8600000000000005</v>
      </c>
      <c r="AO160" t="s">
        <v>180</v>
      </c>
      <c r="AP160" t="s">
        <v>422</v>
      </c>
    </row>
    <row r="161" spans="3:42" ht="12.75">
      <c r="C161" s="339">
        <v>10.5</v>
      </c>
      <c r="D161" s="342">
        <v>0.88</v>
      </c>
      <c r="E161" s="336">
        <v>10.5</v>
      </c>
      <c r="G161" s="295">
        <f t="shared" si="41"/>
        <v>1044</v>
      </c>
      <c r="H161" s="318">
        <f t="shared" si="42"/>
        <v>0.8700000000000006</v>
      </c>
      <c r="I161" s="295">
        <f t="shared" si="43"/>
        <v>1392</v>
      </c>
      <c r="J161" s="318">
        <f t="shared" si="44"/>
        <v>0.8700000000000006</v>
      </c>
      <c r="K161" s="295">
        <f t="shared" si="45"/>
        <v>870</v>
      </c>
      <c r="L161" s="318">
        <f t="shared" si="46"/>
        <v>0.8700000000000006</v>
      </c>
      <c r="AO161" s="45" t="s">
        <v>309</v>
      </c>
      <c r="AP161" s="45" t="s">
        <v>423</v>
      </c>
    </row>
    <row r="162" spans="3:42" ht="12.75">
      <c r="C162" s="339">
        <v>11</v>
      </c>
      <c r="D162" s="342">
        <v>0.92</v>
      </c>
      <c r="E162" s="336">
        <v>11</v>
      </c>
      <c r="G162" s="295">
        <f t="shared" si="41"/>
        <v>1056</v>
      </c>
      <c r="H162" s="318">
        <f t="shared" si="42"/>
        <v>0.8800000000000006</v>
      </c>
      <c r="I162" s="295">
        <f t="shared" si="43"/>
        <v>1408</v>
      </c>
      <c r="J162" s="318">
        <f t="shared" si="44"/>
        <v>0.8800000000000006</v>
      </c>
      <c r="K162" s="295">
        <f t="shared" si="45"/>
        <v>880</v>
      </c>
      <c r="L162" s="318">
        <f t="shared" si="46"/>
        <v>0.8800000000000006</v>
      </c>
      <c r="AO162" t="s">
        <v>180</v>
      </c>
      <c r="AP162" t="s">
        <v>425</v>
      </c>
    </row>
    <row r="163" spans="3:42" ht="12.75">
      <c r="C163" s="339">
        <v>11.5</v>
      </c>
      <c r="D163" s="342">
        <v>1</v>
      </c>
      <c r="E163" s="336">
        <v>11.5</v>
      </c>
      <c r="G163" s="295">
        <f t="shared" si="41"/>
        <v>1068</v>
      </c>
      <c r="H163" s="318">
        <f t="shared" si="42"/>
        <v>0.8900000000000006</v>
      </c>
      <c r="I163" s="295">
        <f t="shared" si="43"/>
        <v>1424</v>
      </c>
      <c r="J163" s="318">
        <f t="shared" si="44"/>
        <v>0.8900000000000006</v>
      </c>
      <c r="K163" s="295">
        <f t="shared" si="45"/>
        <v>890</v>
      </c>
      <c r="L163" s="318">
        <f t="shared" si="46"/>
        <v>0.8900000000000006</v>
      </c>
      <c r="AN163">
        <v>12.05</v>
      </c>
      <c r="AO163" t="s">
        <v>180</v>
      </c>
      <c r="AP163" t="s">
        <v>433</v>
      </c>
    </row>
    <row r="164" spans="3:42" ht="13.5" thickBot="1">
      <c r="C164" s="340">
        <v>12</v>
      </c>
      <c r="D164" s="344">
        <v>1</v>
      </c>
      <c r="E164" s="337">
        <v>12</v>
      </c>
      <c r="G164" s="295">
        <f t="shared" si="41"/>
        <v>1080</v>
      </c>
      <c r="H164" s="318">
        <f t="shared" si="42"/>
        <v>0.9000000000000006</v>
      </c>
      <c r="I164" s="295">
        <f t="shared" si="43"/>
        <v>1440</v>
      </c>
      <c r="J164" s="318">
        <f t="shared" si="44"/>
        <v>0.9000000000000006</v>
      </c>
      <c r="K164" s="295">
        <f t="shared" si="45"/>
        <v>900</v>
      </c>
      <c r="L164" s="318">
        <f t="shared" si="46"/>
        <v>0.9000000000000006</v>
      </c>
      <c r="AO164" t="s">
        <v>170</v>
      </c>
      <c r="AP164" t="s">
        <v>430</v>
      </c>
    </row>
    <row r="165" spans="7:42" ht="12.75">
      <c r="G165" s="295">
        <f t="shared" si="41"/>
        <v>1092</v>
      </c>
      <c r="H165" s="318">
        <f t="shared" si="42"/>
        <v>0.9100000000000006</v>
      </c>
      <c r="I165" s="295">
        <f t="shared" si="43"/>
        <v>1456</v>
      </c>
      <c r="J165" s="318">
        <f t="shared" si="44"/>
        <v>0.9100000000000006</v>
      </c>
      <c r="K165" s="295">
        <f t="shared" si="45"/>
        <v>910</v>
      </c>
      <c r="L165" s="318">
        <f t="shared" si="46"/>
        <v>0.9100000000000006</v>
      </c>
      <c r="AO165" t="s">
        <v>431</v>
      </c>
      <c r="AP165" t="s">
        <v>432</v>
      </c>
    </row>
    <row r="166" spans="7:42" ht="12.75">
      <c r="G166" s="295">
        <f t="shared" si="41"/>
        <v>1104</v>
      </c>
      <c r="H166" s="318">
        <f t="shared" si="42"/>
        <v>0.9200000000000006</v>
      </c>
      <c r="I166" s="295">
        <f t="shared" si="43"/>
        <v>1472</v>
      </c>
      <c r="J166" s="318">
        <f t="shared" si="44"/>
        <v>0.9200000000000006</v>
      </c>
      <c r="K166" s="295">
        <f t="shared" si="45"/>
        <v>920</v>
      </c>
      <c r="L166" s="318">
        <f t="shared" si="46"/>
        <v>0.9200000000000006</v>
      </c>
      <c r="AO166" t="s">
        <v>394</v>
      </c>
      <c r="AP166" t="s">
        <v>441</v>
      </c>
    </row>
    <row r="167" spans="7:42" ht="12.75">
      <c r="G167" s="295">
        <f t="shared" si="41"/>
        <v>1116</v>
      </c>
      <c r="H167" s="318">
        <f t="shared" si="42"/>
        <v>0.9300000000000006</v>
      </c>
      <c r="I167" s="295">
        <f t="shared" si="43"/>
        <v>1488</v>
      </c>
      <c r="J167" s="318">
        <f t="shared" si="44"/>
        <v>0.9300000000000006</v>
      </c>
      <c r="K167" s="295">
        <f t="shared" si="45"/>
        <v>930</v>
      </c>
      <c r="L167" s="318">
        <f t="shared" si="46"/>
        <v>0.9300000000000006</v>
      </c>
      <c r="AO167" s="45" t="s">
        <v>434</v>
      </c>
      <c r="AP167" s="45" t="s">
        <v>435</v>
      </c>
    </row>
    <row r="168" spans="7:42" ht="12.75">
      <c r="G168" s="295">
        <f t="shared" si="41"/>
        <v>1128</v>
      </c>
      <c r="H168" s="318">
        <f t="shared" si="42"/>
        <v>0.9400000000000006</v>
      </c>
      <c r="I168" s="295">
        <f t="shared" si="43"/>
        <v>1504</v>
      </c>
      <c r="J168" s="318">
        <f t="shared" si="44"/>
        <v>0.9400000000000006</v>
      </c>
      <c r="K168" s="295">
        <f t="shared" si="45"/>
        <v>940</v>
      </c>
      <c r="L168" s="318">
        <f t="shared" si="46"/>
        <v>0.9400000000000006</v>
      </c>
      <c r="AO168" t="s">
        <v>394</v>
      </c>
      <c r="AP168" t="s">
        <v>436</v>
      </c>
    </row>
    <row r="169" spans="7:42" ht="12.75">
      <c r="G169" s="295">
        <f t="shared" si="41"/>
        <v>1140</v>
      </c>
      <c r="H169" s="318">
        <f t="shared" si="42"/>
        <v>0.9500000000000006</v>
      </c>
      <c r="I169" s="295">
        <f t="shared" si="43"/>
        <v>1520</v>
      </c>
      <c r="J169" s="318">
        <f t="shared" si="44"/>
        <v>0.9500000000000006</v>
      </c>
      <c r="K169" s="295">
        <f t="shared" si="45"/>
        <v>950</v>
      </c>
      <c r="L169" s="318">
        <f t="shared" si="46"/>
        <v>0.9500000000000006</v>
      </c>
      <c r="AO169" t="s">
        <v>180</v>
      </c>
      <c r="AP169" t="s">
        <v>439</v>
      </c>
    </row>
    <row r="170" spans="7:42" ht="12.75">
      <c r="G170" s="295">
        <f t="shared" si="41"/>
        <v>1152</v>
      </c>
      <c r="H170" s="318">
        <f t="shared" si="42"/>
        <v>0.9600000000000006</v>
      </c>
      <c r="I170" s="295">
        <f t="shared" si="43"/>
        <v>1536</v>
      </c>
      <c r="J170" s="318">
        <f t="shared" si="44"/>
        <v>0.9600000000000006</v>
      </c>
      <c r="K170" s="295">
        <f t="shared" si="45"/>
        <v>960</v>
      </c>
      <c r="L170" s="318">
        <f t="shared" si="46"/>
        <v>0.9600000000000006</v>
      </c>
      <c r="AO170" t="s">
        <v>394</v>
      </c>
      <c r="AP170" t="s">
        <v>437</v>
      </c>
    </row>
    <row r="171" spans="7:42" ht="12.75">
      <c r="G171" s="295">
        <f t="shared" si="41"/>
        <v>1164</v>
      </c>
      <c r="H171" s="318">
        <f t="shared" si="42"/>
        <v>0.9700000000000006</v>
      </c>
      <c r="I171" s="295">
        <f t="shared" si="43"/>
        <v>1552</v>
      </c>
      <c r="J171" s="318">
        <f t="shared" si="44"/>
        <v>0.9700000000000006</v>
      </c>
      <c r="K171" s="295">
        <f t="shared" si="45"/>
        <v>970</v>
      </c>
      <c r="L171" s="318">
        <f t="shared" si="46"/>
        <v>0.9700000000000006</v>
      </c>
      <c r="AO171" t="s">
        <v>394</v>
      </c>
      <c r="AP171" t="s">
        <v>438</v>
      </c>
    </row>
    <row r="172" spans="7:42" ht="12.75">
      <c r="G172" s="295">
        <f t="shared" si="41"/>
        <v>1176</v>
      </c>
      <c r="H172" s="318">
        <f t="shared" si="42"/>
        <v>0.9800000000000006</v>
      </c>
      <c r="I172" s="295">
        <f t="shared" si="43"/>
        <v>1568</v>
      </c>
      <c r="J172" s="318">
        <f t="shared" si="44"/>
        <v>0.9800000000000006</v>
      </c>
      <c r="K172" s="295">
        <f t="shared" si="45"/>
        <v>980</v>
      </c>
      <c r="L172" s="318">
        <f t="shared" si="46"/>
        <v>0.9800000000000006</v>
      </c>
      <c r="AO172" s="45" t="s">
        <v>170</v>
      </c>
      <c r="AP172" s="45" t="s">
        <v>440</v>
      </c>
    </row>
    <row r="173" spans="7:42" ht="12.75">
      <c r="G173" s="295">
        <f t="shared" si="41"/>
        <v>1188</v>
      </c>
      <c r="H173" s="318">
        <f t="shared" si="42"/>
        <v>0.9900000000000007</v>
      </c>
      <c r="I173" s="295">
        <f t="shared" si="43"/>
        <v>1584</v>
      </c>
      <c r="J173" s="318">
        <f t="shared" si="44"/>
        <v>0.9900000000000007</v>
      </c>
      <c r="K173" s="295">
        <f t="shared" si="45"/>
        <v>990</v>
      </c>
      <c r="L173" s="318">
        <f t="shared" si="46"/>
        <v>0.9900000000000007</v>
      </c>
      <c r="AO173" s="45" t="s">
        <v>394</v>
      </c>
      <c r="AP173" s="45" t="s">
        <v>442</v>
      </c>
    </row>
    <row r="174" spans="7:42" ht="13.5" thickBot="1">
      <c r="G174" s="296">
        <f t="shared" si="41"/>
        <v>1200</v>
      </c>
      <c r="H174" s="321">
        <f>+H173+0.01</f>
        <v>1.0000000000000007</v>
      </c>
      <c r="I174" s="296">
        <f t="shared" si="43"/>
        <v>1600</v>
      </c>
      <c r="J174" s="321">
        <f>+J173+0.01</f>
        <v>1.0000000000000007</v>
      </c>
      <c r="K174" s="296">
        <f t="shared" si="45"/>
        <v>1000</v>
      </c>
      <c r="L174" s="321">
        <f>+L173+0.01</f>
        <v>1.0000000000000007</v>
      </c>
      <c r="AO174" s="45" t="s">
        <v>431</v>
      </c>
      <c r="AP174" s="45" t="s">
        <v>443</v>
      </c>
    </row>
    <row r="175" spans="41:42" ht="12.75">
      <c r="AO175" s="45" t="s">
        <v>431</v>
      </c>
      <c r="AP175" s="45" t="s">
        <v>444</v>
      </c>
    </row>
    <row r="176" spans="40:42" ht="12.75">
      <c r="AN176">
        <v>12.06</v>
      </c>
      <c r="AO176" t="s">
        <v>394</v>
      </c>
      <c r="AP176" t="s">
        <v>445</v>
      </c>
    </row>
    <row r="177" spans="41:42" ht="12.75">
      <c r="AO177" t="s">
        <v>180</v>
      </c>
      <c r="AP177" t="s">
        <v>446</v>
      </c>
    </row>
    <row r="178" spans="41:42" ht="12.75">
      <c r="AO178" t="s">
        <v>434</v>
      </c>
      <c r="AP178" s="45" t="s">
        <v>456</v>
      </c>
    </row>
    <row r="179" spans="41:42" ht="12.75">
      <c r="AO179" s="45" t="s">
        <v>394</v>
      </c>
      <c r="AP179" s="45" t="s">
        <v>453</v>
      </c>
    </row>
    <row r="180" spans="41:42" ht="12.75">
      <c r="AO180" s="45" t="s">
        <v>394</v>
      </c>
      <c r="AP180" s="45" t="s">
        <v>447</v>
      </c>
    </row>
    <row r="181" spans="41:42" ht="12.75">
      <c r="AO181" s="45" t="s">
        <v>448</v>
      </c>
      <c r="AP181" s="45" t="s">
        <v>449</v>
      </c>
    </row>
    <row r="182" spans="41:42" ht="12.75">
      <c r="AO182" s="45" t="s">
        <v>309</v>
      </c>
      <c r="AP182" s="45" t="s">
        <v>450</v>
      </c>
    </row>
    <row r="183" spans="41:42" ht="12.75">
      <c r="AO183" s="45" t="s">
        <v>448</v>
      </c>
      <c r="AP183" s="45" t="s">
        <v>451</v>
      </c>
    </row>
    <row r="184" spans="41:42" ht="12.75">
      <c r="AO184" s="45" t="s">
        <v>434</v>
      </c>
      <c r="AP184" s="45" t="s">
        <v>455</v>
      </c>
    </row>
    <row r="185" spans="41:42" ht="12.75">
      <c r="AO185" s="45" t="s">
        <v>448</v>
      </c>
      <c r="AP185" s="45" t="s">
        <v>452</v>
      </c>
    </row>
    <row r="186" spans="41:42" ht="12.75">
      <c r="AO186" s="45" t="s">
        <v>170</v>
      </c>
      <c r="AP186" s="45" t="s">
        <v>454</v>
      </c>
    </row>
    <row r="187" spans="39:42" ht="12.75">
      <c r="AM187" s="45"/>
      <c r="AN187" s="47">
        <v>13</v>
      </c>
      <c r="AO187" s="45" t="s">
        <v>394</v>
      </c>
      <c r="AP187" s="45" t="s">
        <v>457</v>
      </c>
    </row>
    <row r="188" spans="41:42" ht="12.75">
      <c r="AO188" s="45" t="s">
        <v>394</v>
      </c>
      <c r="AP188" s="45" t="s">
        <v>458</v>
      </c>
    </row>
    <row r="189" spans="41:42" ht="12.75">
      <c r="AO189" s="45" t="s">
        <v>394</v>
      </c>
      <c r="AP189" s="45" t="s">
        <v>459</v>
      </c>
    </row>
    <row r="190" spans="41:42" ht="12.75">
      <c r="AO190" s="45" t="s">
        <v>170</v>
      </c>
      <c r="AP190" s="45" t="s">
        <v>460</v>
      </c>
    </row>
    <row r="191" spans="41:42" ht="12.75">
      <c r="AO191" s="45" t="s">
        <v>394</v>
      </c>
      <c r="AP191" s="45" t="s">
        <v>467</v>
      </c>
    </row>
    <row r="192" spans="41:42" ht="12.75">
      <c r="AO192" s="45" t="s">
        <v>394</v>
      </c>
      <c r="AP192" s="45" t="s">
        <v>461</v>
      </c>
    </row>
    <row r="193" spans="41:42" ht="12.75">
      <c r="AO193" s="45" t="s">
        <v>394</v>
      </c>
      <c r="AP193" s="45" t="s">
        <v>462</v>
      </c>
    </row>
    <row r="194" spans="41:42" ht="12.75">
      <c r="AO194" s="45" t="s">
        <v>448</v>
      </c>
      <c r="AP194" s="45" t="s">
        <v>463</v>
      </c>
    </row>
    <row r="195" spans="41:42" ht="12.75">
      <c r="AO195" s="45" t="s">
        <v>448</v>
      </c>
      <c r="AP195" s="45" t="s">
        <v>464</v>
      </c>
    </row>
    <row r="196" spans="41:42" ht="12.75">
      <c r="AO196" s="45" t="s">
        <v>394</v>
      </c>
      <c r="AP196" s="45" t="s">
        <v>465</v>
      </c>
    </row>
    <row r="197" spans="41:42" ht="12.75">
      <c r="AO197" s="45" t="s">
        <v>394</v>
      </c>
      <c r="AP197" s="45" t="s">
        <v>466</v>
      </c>
    </row>
    <row r="198" spans="41:42" ht="12.75">
      <c r="AO198" s="45" t="s">
        <v>180</v>
      </c>
      <c r="AP198" s="45" t="s">
        <v>468</v>
      </c>
    </row>
    <row r="199" spans="41:42" ht="12.75">
      <c r="AO199" s="45" t="s">
        <v>170</v>
      </c>
      <c r="AP199" s="45" t="s">
        <v>469</v>
      </c>
    </row>
    <row r="200" spans="41:42" ht="12.75">
      <c r="AO200" s="45" t="s">
        <v>309</v>
      </c>
      <c r="AP200" s="45" t="s">
        <v>470</v>
      </c>
    </row>
    <row r="201" spans="40:42" ht="12.75">
      <c r="AN201">
        <v>13.01</v>
      </c>
      <c r="AO201" t="s">
        <v>170</v>
      </c>
      <c r="AP201" t="s">
        <v>471</v>
      </c>
    </row>
    <row r="202" spans="41:42" ht="12.75">
      <c r="AO202" t="s">
        <v>448</v>
      </c>
      <c r="AP202" t="s">
        <v>472</v>
      </c>
    </row>
    <row r="203" spans="41:42" ht="12.75">
      <c r="AO203" s="45" t="s">
        <v>170</v>
      </c>
      <c r="AP203" s="45" t="s">
        <v>473</v>
      </c>
    </row>
    <row r="204" spans="41:42" ht="12.75">
      <c r="AO204" s="45" t="s">
        <v>170</v>
      </c>
      <c r="AP204" s="45" t="s">
        <v>474</v>
      </c>
    </row>
    <row r="205" spans="41:42" ht="12.75">
      <c r="AO205" s="45" t="s">
        <v>394</v>
      </c>
      <c r="AP205" s="45" t="s">
        <v>475</v>
      </c>
    </row>
    <row r="206" spans="41:42" ht="12.75">
      <c r="AO206" s="45" t="s">
        <v>448</v>
      </c>
      <c r="AP206" s="45" t="s">
        <v>476</v>
      </c>
    </row>
    <row r="207" spans="41:42" ht="12.75">
      <c r="AO207" s="45" t="s">
        <v>394</v>
      </c>
      <c r="AP207" s="45" t="s">
        <v>477</v>
      </c>
    </row>
    <row r="208" spans="41:42" ht="12.75">
      <c r="AO208" t="s">
        <v>448</v>
      </c>
      <c r="AP208" t="s">
        <v>478</v>
      </c>
    </row>
    <row r="209" spans="41:42" ht="12.75">
      <c r="AO209" t="s">
        <v>394</v>
      </c>
      <c r="AP209" t="s">
        <v>480</v>
      </c>
    </row>
    <row r="210" spans="41:42" ht="12.75">
      <c r="AO210" t="s">
        <v>479</v>
      </c>
      <c r="AP210" s="45" t="s">
        <v>481</v>
      </c>
    </row>
    <row r="211" spans="41:42" ht="12.75">
      <c r="AO211" s="45" t="s">
        <v>394</v>
      </c>
      <c r="AP211" s="45" t="s">
        <v>482</v>
      </c>
    </row>
    <row r="212" spans="41:42" ht="12.75">
      <c r="AO212" s="45" t="s">
        <v>394</v>
      </c>
      <c r="AP212" s="45" t="s">
        <v>483</v>
      </c>
    </row>
    <row r="213" spans="41:42" ht="12.75">
      <c r="AO213" s="45" t="s">
        <v>394</v>
      </c>
      <c r="AP213" s="45" t="s">
        <v>484</v>
      </c>
    </row>
    <row r="214" spans="41:42" ht="12.75">
      <c r="AO214" s="45" t="s">
        <v>448</v>
      </c>
      <c r="AP214" s="45" t="s">
        <v>486</v>
      </c>
    </row>
    <row r="215" spans="41:42" ht="12.75">
      <c r="AO215" s="45" t="s">
        <v>448</v>
      </c>
      <c r="AP215" s="45" t="s">
        <v>487</v>
      </c>
    </row>
    <row r="216" spans="41:42" ht="12.75">
      <c r="AO216" s="45" t="s">
        <v>448</v>
      </c>
      <c r="AP216" s="45" t="s">
        <v>492</v>
      </c>
    </row>
    <row r="217" spans="41:42" ht="12.75">
      <c r="AO217" s="45" t="s">
        <v>394</v>
      </c>
      <c r="AP217" s="45" t="s">
        <v>485</v>
      </c>
    </row>
    <row r="218" spans="41:42" ht="12.75">
      <c r="AO218" s="45" t="s">
        <v>479</v>
      </c>
      <c r="AP218" s="45" t="s">
        <v>494</v>
      </c>
    </row>
    <row r="219" spans="41:42" ht="12.75">
      <c r="AO219" s="45" t="s">
        <v>394</v>
      </c>
      <c r="AP219" s="45" t="s">
        <v>493</v>
      </c>
    </row>
    <row r="220" spans="41:42" ht="12.75">
      <c r="AO220" s="45" t="s">
        <v>394</v>
      </c>
      <c r="AP220" s="45" t="s">
        <v>488</v>
      </c>
    </row>
    <row r="221" spans="41:42" ht="12.75">
      <c r="AO221" s="45" t="s">
        <v>170</v>
      </c>
      <c r="AP221" s="45" t="s">
        <v>489</v>
      </c>
    </row>
    <row r="222" spans="41:42" ht="12.75">
      <c r="AO222" s="45" t="s">
        <v>434</v>
      </c>
      <c r="AP222" s="45" t="s">
        <v>490</v>
      </c>
    </row>
    <row r="223" spans="41:42" ht="12.75">
      <c r="AO223" s="45" t="s">
        <v>479</v>
      </c>
      <c r="AP223" s="45" t="s">
        <v>491</v>
      </c>
    </row>
    <row r="224" spans="41:42" ht="12.75">
      <c r="AO224" t="s">
        <v>180</v>
      </c>
      <c r="AP224" t="s">
        <v>495</v>
      </c>
    </row>
    <row r="225" spans="41:42" ht="12.75">
      <c r="AO225" t="s">
        <v>479</v>
      </c>
      <c r="AP225" t="s">
        <v>496</v>
      </c>
    </row>
    <row r="226" spans="41:42" ht="12.75">
      <c r="AO226" t="s">
        <v>448</v>
      </c>
      <c r="AP226" t="s">
        <v>497</v>
      </c>
    </row>
    <row r="227" spans="39:42" ht="12.75">
      <c r="AM227" s="45"/>
      <c r="AN227" s="47">
        <v>14</v>
      </c>
      <c r="AO227" s="45" t="s">
        <v>170</v>
      </c>
      <c r="AP227" s="45" t="s">
        <v>498</v>
      </c>
    </row>
    <row r="228" spans="41:42" ht="12.75">
      <c r="AO228" s="45" t="s">
        <v>434</v>
      </c>
      <c r="AP228" s="45" t="s">
        <v>499</v>
      </c>
    </row>
    <row r="229" spans="41:42" ht="12.75">
      <c r="AO229" s="45" t="s">
        <v>394</v>
      </c>
      <c r="AP229" s="45" t="s">
        <v>500</v>
      </c>
    </row>
    <row r="230" spans="41:42" ht="12.75">
      <c r="AO230" s="45" t="s">
        <v>180</v>
      </c>
      <c r="AP230" s="45" t="s">
        <v>501</v>
      </c>
    </row>
    <row r="231" spans="41:42" ht="12.75">
      <c r="AO231" s="45" t="s">
        <v>170</v>
      </c>
      <c r="AP231" s="45" t="s">
        <v>502</v>
      </c>
    </row>
    <row r="232" spans="41:42" ht="12.75">
      <c r="AO232" t="s">
        <v>394</v>
      </c>
      <c r="AP232" t="s">
        <v>503</v>
      </c>
    </row>
    <row r="233" spans="41:42" ht="12.75">
      <c r="AO233" t="s">
        <v>180</v>
      </c>
      <c r="AP233" t="s">
        <v>504</v>
      </c>
    </row>
    <row r="234" spans="41:42" ht="12.75">
      <c r="AO234" s="45" t="s">
        <v>170</v>
      </c>
      <c r="AP234" s="45" t="s">
        <v>577</v>
      </c>
    </row>
    <row r="235" spans="41:42" ht="12.75">
      <c r="AO235" s="45" t="s">
        <v>170</v>
      </c>
      <c r="AP235" s="45" t="s">
        <v>505</v>
      </c>
    </row>
    <row r="236" spans="41:42" ht="12.75">
      <c r="AO236" s="45" t="s">
        <v>448</v>
      </c>
      <c r="AP236" s="45" t="s">
        <v>568</v>
      </c>
    </row>
    <row r="237" spans="41:42" ht="12.75">
      <c r="AO237" t="s">
        <v>394</v>
      </c>
      <c r="AP237" t="s">
        <v>569</v>
      </c>
    </row>
    <row r="238" spans="41:42" ht="12.75">
      <c r="AO238" s="45" t="s">
        <v>394</v>
      </c>
      <c r="AP238" s="45" t="s">
        <v>570</v>
      </c>
    </row>
    <row r="239" spans="41:42" ht="12.75">
      <c r="AO239" s="45" t="s">
        <v>394</v>
      </c>
      <c r="AP239" s="45" t="s">
        <v>571</v>
      </c>
    </row>
    <row r="240" spans="41:42" ht="12.75">
      <c r="AO240" s="45" t="s">
        <v>394</v>
      </c>
      <c r="AP240" s="45" t="s">
        <v>572</v>
      </c>
    </row>
    <row r="241" spans="41:42" ht="12.75">
      <c r="AO241" s="45" t="s">
        <v>448</v>
      </c>
      <c r="AP241" s="45" t="s">
        <v>573</v>
      </c>
    </row>
    <row r="242" spans="41:42" ht="12.75">
      <c r="AO242" s="45" t="s">
        <v>448</v>
      </c>
      <c r="AP242" s="45" t="s">
        <v>574</v>
      </c>
    </row>
    <row r="243" spans="41:42" ht="12.75">
      <c r="AO243" s="45" t="s">
        <v>394</v>
      </c>
      <c r="AP243" s="45" t="s">
        <v>575</v>
      </c>
    </row>
    <row r="244" spans="41:42" ht="12.75">
      <c r="AO244" s="45" t="s">
        <v>448</v>
      </c>
      <c r="AP244" s="45" t="s">
        <v>576</v>
      </c>
    </row>
    <row r="245" spans="41:42" ht="12.75">
      <c r="AO245" t="s">
        <v>394</v>
      </c>
      <c r="AP245" t="s">
        <v>578</v>
      </c>
    </row>
    <row r="246" spans="40:42" ht="12.75">
      <c r="AN246">
        <v>14.01</v>
      </c>
      <c r="AO246" s="45" t="s">
        <v>394</v>
      </c>
      <c r="AP246" s="45" t="s">
        <v>579</v>
      </c>
    </row>
    <row r="247" spans="41:42" ht="12.75">
      <c r="AO247" s="45" t="s">
        <v>180</v>
      </c>
      <c r="AP247" s="45" t="s">
        <v>580</v>
      </c>
    </row>
    <row r="248" spans="41:42" ht="12.75">
      <c r="AO248" t="s">
        <v>448</v>
      </c>
      <c r="AP248" t="s">
        <v>581</v>
      </c>
    </row>
    <row r="249" spans="41:42" ht="12.75">
      <c r="AO249" s="45" t="s">
        <v>448</v>
      </c>
      <c r="AP249" s="45" t="s">
        <v>699</v>
      </c>
    </row>
    <row r="250" spans="41:42" ht="12.75">
      <c r="AO250" s="45" t="s">
        <v>448</v>
      </c>
      <c r="AP250" s="45" t="s">
        <v>702</v>
      </c>
    </row>
    <row r="251" spans="41:42" ht="12.75">
      <c r="AO251" s="45" t="s">
        <v>448</v>
      </c>
      <c r="AP251" s="45" t="s">
        <v>703</v>
      </c>
    </row>
    <row r="252" spans="41:42" ht="12.75">
      <c r="AO252" t="s">
        <v>448</v>
      </c>
      <c r="AP252" t="s">
        <v>731</v>
      </c>
    </row>
    <row r="253" spans="41:42" ht="12.75">
      <c r="AO253" t="s">
        <v>170</v>
      </c>
      <c r="AP253" t="s">
        <v>732</v>
      </c>
    </row>
    <row r="254" spans="41:42" ht="12.75">
      <c r="AO254" t="s">
        <v>434</v>
      </c>
      <c r="AP254" t="s">
        <v>763</v>
      </c>
    </row>
    <row r="255" spans="40:42" ht="12.75">
      <c r="AN255" s="47">
        <v>15</v>
      </c>
      <c r="AO255" t="s">
        <v>448</v>
      </c>
      <c r="AP255" t="s">
        <v>765</v>
      </c>
    </row>
    <row r="256" spans="41:42" ht="12.75">
      <c r="AO256" t="s">
        <v>448</v>
      </c>
      <c r="AP256" t="s">
        <v>766</v>
      </c>
    </row>
    <row r="257" spans="41:42" ht="12.75">
      <c r="AO257" t="s">
        <v>448</v>
      </c>
      <c r="AP257" t="s">
        <v>767</v>
      </c>
    </row>
    <row r="258" spans="40:42" ht="12.75">
      <c r="AN258" s="3">
        <v>15.01</v>
      </c>
      <c r="AO258" t="s">
        <v>448</v>
      </c>
      <c r="AP258" t="s">
        <v>768</v>
      </c>
    </row>
    <row r="259" ht="12.75">
      <c r="AP259" t="s">
        <v>771</v>
      </c>
    </row>
    <row r="260" ht="12.75">
      <c r="AP260" t="s">
        <v>772</v>
      </c>
    </row>
    <row r="261" ht="12.75">
      <c r="AP261" t="s">
        <v>773</v>
      </c>
    </row>
    <row r="263" spans="40:42" ht="12.75">
      <c r="AN263" s="47">
        <v>16</v>
      </c>
      <c r="AP263" s="45" t="s">
        <v>782</v>
      </c>
    </row>
    <row r="264" spans="40:42" ht="12.75">
      <c r="AN264" s="47"/>
      <c r="AP264" s="45" t="s">
        <v>783</v>
      </c>
    </row>
    <row r="265" ht="12.75">
      <c r="AN265" s="47"/>
    </row>
    <row r="266" ht="12.75">
      <c r="AN266" s="47"/>
    </row>
    <row r="267" spans="40:42" ht="12.75">
      <c r="AN267" s="47">
        <v>17</v>
      </c>
      <c r="AO267" s="45" t="s">
        <v>448</v>
      </c>
      <c r="AP267" s="45" t="s">
        <v>784</v>
      </c>
    </row>
    <row r="268" spans="41:42" ht="12.75">
      <c r="AO268" s="45" t="s">
        <v>309</v>
      </c>
      <c r="AP268" s="45" t="s">
        <v>785</v>
      </c>
    </row>
    <row r="269" spans="41:42" ht="12.75">
      <c r="AO269" s="45" t="s">
        <v>309</v>
      </c>
      <c r="AP269" s="45" t="s">
        <v>786</v>
      </c>
    </row>
    <row r="270" spans="41:42" ht="12.75">
      <c r="AO270" s="45" t="s">
        <v>434</v>
      </c>
      <c r="AP270" s="45" t="s">
        <v>787</v>
      </c>
    </row>
    <row r="271" spans="41:42" ht="12.75">
      <c r="AO271" s="45" t="s">
        <v>448</v>
      </c>
      <c r="AP271" s="45" t="s">
        <v>788</v>
      </c>
    </row>
    <row r="273" spans="40:42" ht="12.75">
      <c r="AN273" s="47">
        <v>18</v>
      </c>
      <c r="AO273" t="s">
        <v>448</v>
      </c>
      <c r="AP273" s="45" t="s">
        <v>794</v>
      </c>
    </row>
    <row r="274" spans="40:42" ht="12.75">
      <c r="AN274" t="s">
        <v>792</v>
      </c>
      <c r="AO274" s="45" t="s">
        <v>170</v>
      </c>
      <c r="AP274" s="45" t="s">
        <v>793</v>
      </c>
    </row>
    <row r="275" spans="41:42" ht="12.75">
      <c r="AO275" s="45" t="s">
        <v>170</v>
      </c>
      <c r="AP275" s="45" t="s">
        <v>795</v>
      </c>
    </row>
  </sheetData>
  <sheetProtection password="CFA3" sheet="1" selectLockedCells="1"/>
  <mergeCells count="14">
    <mergeCell ref="AE30:AF30"/>
    <mergeCell ref="AE8:AF8"/>
    <mergeCell ref="AB26:AC26"/>
    <mergeCell ref="L8:N8"/>
    <mergeCell ref="L32:O32"/>
    <mergeCell ref="G8:J8"/>
    <mergeCell ref="C8:E8"/>
    <mergeCell ref="A8:B8"/>
    <mergeCell ref="C139:E139"/>
    <mergeCell ref="P63:Q63"/>
    <mergeCell ref="U99:V99"/>
    <mergeCell ref="S99:T99"/>
    <mergeCell ref="P99:Q99"/>
    <mergeCell ref="O100:V100"/>
  </mergeCells>
  <hyperlinks>
    <hyperlink ref="K3" r:id="rId1" display="http://www.federalreserve.gov/releases/h15/update/"/>
    <hyperlink ref="AI21" r:id="rId2" display="help@eadventist.org"/>
    <hyperlink ref="K5" r:id="rId3" display="http://www.federalreserve.gov/releases/h15/data.htm"/>
  </hyperlinks>
  <printOptions/>
  <pageMargins left="0.75" right="0.75" top="1" bottom="1" header="0.5" footer="0.5"/>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Sheet20"/>
  <dimension ref="A1:B63"/>
  <sheetViews>
    <sheetView zoomScalePageLayoutView="0" workbookViewId="0" topLeftCell="A1">
      <selection activeCell="B3" sqref="B3"/>
    </sheetView>
  </sheetViews>
  <sheetFormatPr defaultColWidth="9.140625" defaultRowHeight="12.75"/>
  <cols>
    <col min="1" max="1" width="30.7109375" style="0" customWidth="1"/>
    <col min="2" max="2" width="24.7109375" style="0" customWidth="1"/>
    <col min="3" max="3" width="16.00390625" style="0" customWidth="1"/>
    <col min="4" max="4" width="31.140625" style="0" customWidth="1"/>
    <col min="5" max="5" width="15.28125" style="0" customWidth="1"/>
    <col min="6" max="6" width="15.421875" style="0" customWidth="1"/>
    <col min="7" max="7" width="14.57421875" style="0" customWidth="1"/>
    <col min="8" max="8" width="13.8515625" style="0" customWidth="1"/>
    <col min="9" max="9" width="13.28125" style="0" customWidth="1"/>
    <col min="10" max="10" width="12.7109375" style="0" customWidth="1"/>
  </cols>
  <sheetData>
    <row r="1" ht="15" customHeight="1">
      <c r="A1" s="139" t="s">
        <v>506</v>
      </c>
    </row>
    <row r="2" ht="15" customHeight="1">
      <c r="A2" s="119" t="s">
        <v>507</v>
      </c>
    </row>
    <row r="3" spans="1:2" ht="15" customHeight="1">
      <c r="A3" s="130" t="s">
        <v>508</v>
      </c>
      <c r="B3" s="118"/>
    </row>
    <row r="4" spans="1:2" ht="15" customHeight="1">
      <c r="A4" s="130" t="s">
        <v>509</v>
      </c>
      <c r="B4" s="118"/>
    </row>
    <row r="5" spans="1:2" ht="15" customHeight="1">
      <c r="A5" s="118" t="s">
        <v>510</v>
      </c>
      <c r="B5" s="118"/>
    </row>
    <row r="6" spans="1:2" ht="15" customHeight="1">
      <c r="A6" s="130" t="s">
        <v>511</v>
      </c>
      <c r="B6" s="118"/>
    </row>
    <row r="7" spans="1:2" ht="15" customHeight="1">
      <c r="A7" s="130" t="s">
        <v>512</v>
      </c>
      <c r="B7" s="118"/>
    </row>
    <row r="8" spans="1:2" ht="15" customHeight="1">
      <c r="A8" s="118" t="s">
        <v>513</v>
      </c>
      <c r="B8" s="118"/>
    </row>
    <row r="9" spans="1:2" ht="15" customHeight="1">
      <c r="A9" s="118" t="s">
        <v>514</v>
      </c>
      <c r="B9" s="118"/>
    </row>
    <row r="10" spans="1:2" ht="15" customHeight="1">
      <c r="A10" s="118" t="s">
        <v>515</v>
      </c>
      <c r="B10" s="118"/>
    </row>
    <row r="11" spans="1:2" ht="15" customHeight="1">
      <c r="A11" s="130" t="s">
        <v>516</v>
      </c>
      <c r="B11" s="118"/>
    </row>
    <row r="12" spans="1:2" ht="15" customHeight="1">
      <c r="A12" s="130" t="s">
        <v>517</v>
      </c>
      <c r="B12" s="118"/>
    </row>
    <row r="13" spans="1:2" ht="15" customHeight="1">
      <c r="A13" s="130" t="s">
        <v>518</v>
      </c>
      <c r="B13" s="118"/>
    </row>
    <row r="14" spans="1:2" ht="15.75" customHeight="1">
      <c r="A14" s="130" t="s">
        <v>519</v>
      </c>
      <c r="B14" s="118"/>
    </row>
    <row r="15" spans="1:2" ht="15" customHeight="1">
      <c r="A15" s="118" t="s">
        <v>520</v>
      </c>
      <c r="B15" s="118"/>
    </row>
    <row r="16" spans="1:2" ht="15" customHeight="1">
      <c r="A16" s="130" t="s">
        <v>521</v>
      </c>
      <c r="B16" s="118"/>
    </row>
    <row r="17" spans="1:2" ht="15" customHeight="1">
      <c r="A17" s="130" t="s">
        <v>522</v>
      </c>
      <c r="B17" s="118"/>
    </row>
    <row r="18" spans="1:2" ht="15" customHeight="1">
      <c r="A18" s="130" t="s">
        <v>523</v>
      </c>
      <c r="B18" s="118"/>
    </row>
    <row r="19" spans="1:2" ht="15" customHeight="1">
      <c r="A19" s="130" t="s">
        <v>524</v>
      </c>
      <c r="B19" s="118"/>
    </row>
    <row r="20" spans="1:2" ht="15" customHeight="1">
      <c r="A20" s="130" t="s">
        <v>525</v>
      </c>
      <c r="B20" s="118"/>
    </row>
    <row r="21" spans="1:2" ht="15" customHeight="1">
      <c r="A21" s="130" t="s">
        <v>526</v>
      </c>
      <c r="B21" s="118"/>
    </row>
    <row r="22" spans="1:2" ht="15" customHeight="1">
      <c r="A22" s="130" t="s">
        <v>527</v>
      </c>
      <c r="B22" s="118"/>
    </row>
    <row r="23" spans="1:2" ht="15" customHeight="1">
      <c r="A23" s="130" t="s">
        <v>528</v>
      </c>
      <c r="B23" s="118"/>
    </row>
    <row r="24" spans="1:2" ht="15" customHeight="1">
      <c r="A24" s="130" t="s">
        <v>529</v>
      </c>
      <c r="B24" s="118"/>
    </row>
    <row r="25" spans="1:2" ht="15" customHeight="1">
      <c r="A25" s="130" t="s">
        <v>530</v>
      </c>
      <c r="B25" s="118"/>
    </row>
    <row r="26" spans="1:2" ht="15" customHeight="1">
      <c r="A26" s="130" t="s">
        <v>531</v>
      </c>
      <c r="B26" s="118"/>
    </row>
    <row r="27" spans="1:2" ht="15" customHeight="1">
      <c r="A27" s="130" t="s">
        <v>532</v>
      </c>
      <c r="B27" s="118"/>
    </row>
    <row r="28" spans="1:2" ht="15" customHeight="1">
      <c r="A28" s="130" t="s">
        <v>533</v>
      </c>
      <c r="B28" s="118"/>
    </row>
    <row r="29" spans="1:2" ht="15" customHeight="1">
      <c r="A29" s="130" t="s">
        <v>534</v>
      </c>
      <c r="B29" s="118"/>
    </row>
    <row r="30" spans="1:2" ht="15" customHeight="1">
      <c r="A30" s="130" t="s">
        <v>535</v>
      </c>
      <c r="B30" s="118"/>
    </row>
    <row r="31" spans="1:2" ht="15" customHeight="1">
      <c r="A31" s="130" t="s">
        <v>536</v>
      </c>
      <c r="B31" s="118"/>
    </row>
    <row r="32" spans="1:2" ht="15" customHeight="1">
      <c r="A32" s="130" t="s">
        <v>537</v>
      </c>
      <c r="B32" s="118"/>
    </row>
    <row r="33" spans="1:2" ht="15" customHeight="1">
      <c r="A33" s="130" t="s">
        <v>538</v>
      </c>
      <c r="B33" s="118"/>
    </row>
    <row r="34" spans="1:2" ht="15" customHeight="1">
      <c r="A34" s="130" t="s">
        <v>539</v>
      </c>
      <c r="B34" s="118"/>
    </row>
    <row r="35" spans="1:2" ht="15" customHeight="1">
      <c r="A35" s="118" t="s">
        <v>540</v>
      </c>
      <c r="B35" s="118"/>
    </row>
    <row r="36" spans="1:2" ht="15" customHeight="1">
      <c r="A36" s="118" t="s">
        <v>541</v>
      </c>
      <c r="B36" s="118"/>
    </row>
    <row r="37" spans="1:2" ht="15" customHeight="1">
      <c r="A37" s="118" t="s">
        <v>542</v>
      </c>
      <c r="B37" s="118"/>
    </row>
    <row r="38" spans="1:2" ht="15" customHeight="1">
      <c r="A38" s="118" t="s">
        <v>543</v>
      </c>
      <c r="B38" s="118"/>
    </row>
    <row r="39" spans="1:2" ht="15" customHeight="1">
      <c r="A39" s="118" t="s">
        <v>544</v>
      </c>
      <c r="B39" s="118"/>
    </row>
    <row r="40" spans="1:2" ht="15" customHeight="1">
      <c r="A40" s="118" t="s">
        <v>545</v>
      </c>
      <c r="B40" s="118"/>
    </row>
    <row r="41" spans="1:2" ht="15" customHeight="1">
      <c r="A41" s="140" t="s">
        <v>546</v>
      </c>
      <c r="B41" s="118"/>
    </row>
    <row r="42" spans="1:2" ht="15" customHeight="1">
      <c r="A42" s="118" t="s">
        <v>508</v>
      </c>
      <c r="B42" s="118"/>
    </row>
    <row r="43" spans="1:2" ht="15" customHeight="1">
      <c r="A43" s="118" t="s">
        <v>547</v>
      </c>
      <c r="B43" s="118"/>
    </row>
    <row r="44" spans="1:2" ht="15" customHeight="1">
      <c r="A44" s="118" t="s">
        <v>548</v>
      </c>
      <c r="B44" s="118"/>
    </row>
    <row r="45" spans="1:2" ht="15" customHeight="1">
      <c r="A45" s="118" t="s">
        <v>549</v>
      </c>
      <c r="B45" s="118"/>
    </row>
    <row r="46" spans="1:2" ht="15" customHeight="1">
      <c r="A46" s="118" t="s">
        <v>550</v>
      </c>
      <c r="B46" s="118"/>
    </row>
    <row r="47" spans="1:2" ht="15" customHeight="1">
      <c r="A47" s="118" t="s">
        <v>551</v>
      </c>
      <c r="B47" s="118"/>
    </row>
    <row r="48" spans="1:2" ht="15" customHeight="1">
      <c r="A48" s="118" t="s">
        <v>552</v>
      </c>
      <c r="B48" s="118"/>
    </row>
    <row r="49" spans="1:2" ht="15" customHeight="1">
      <c r="A49" s="118" t="s">
        <v>553</v>
      </c>
      <c r="B49" s="118"/>
    </row>
    <row r="50" spans="1:2" ht="15" customHeight="1">
      <c r="A50" s="118" t="s">
        <v>554</v>
      </c>
      <c r="B50" s="118"/>
    </row>
    <row r="51" spans="1:2" ht="15" customHeight="1">
      <c r="A51" s="118" t="s">
        <v>555</v>
      </c>
      <c r="B51" s="118"/>
    </row>
    <row r="52" spans="1:2" ht="15" customHeight="1">
      <c r="A52" s="118" t="s">
        <v>556</v>
      </c>
      <c r="B52" s="118"/>
    </row>
    <row r="53" spans="1:2" ht="15" customHeight="1">
      <c r="A53" s="118" t="s">
        <v>557</v>
      </c>
      <c r="B53" s="118"/>
    </row>
    <row r="54" spans="1:2" ht="15" customHeight="1">
      <c r="A54" s="118" t="s">
        <v>558</v>
      </c>
      <c r="B54" s="118"/>
    </row>
    <row r="55" spans="1:2" ht="15" customHeight="1">
      <c r="A55" s="118" t="s">
        <v>559</v>
      </c>
      <c r="B55" s="118"/>
    </row>
    <row r="56" spans="1:2" ht="15" customHeight="1">
      <c r="A56" s="118" t="s">
        <v>560</v>
      </c>
      <c r="B56" s="118"/>
    </row>
    <row r="57" spans="1:2" ht="15" customHeight="1">
      <c r="A57" s="118" t="s">
        <v>561</v>
      </c>
      <c r="B57" s="118"/>
    </row>
    <row r="58" spans="1:2" ht="15" customHeight="1">
      <c r="A58" s="118" t="s">
        <v>562</v>
      </c>
      <c r="B58" s="118"/>
    </row>
    <row r="59" spans="1:2" ht="15" customHeight="1">
      <c r="A59" s="118" t="s">
        <v>563</v>
      </c>
      <c r="B59" s="118"/>
    </row>
    <row r="60" spans="1:2" ht="15" customHeight="1">
      <c r="A60" s="118" t="s">
        <v>564</v>
      </c>
      <c r="B60" s="118"/>
    </row>
    <row r="61" spans="1:2" ht="15" customHeight="1">
      <c r="A61" s="118" t="s">
        <v>565</v>
      </c>
      <c r="B61" s="118"/>
    </row>
    <row r="62" spans="1:2" ht="15" customHeight="1">
      <c r="A62" s="118" t="s">
        <v>566</v>
      </c>
      <c r="B62" s="118"/>
    </row>
    <row r="63" spans="1:2" ht="15" customHeight="1">
      <c r="A63" s="118" t="s">
        <v>567</v>
      </c>
      <c r="B63" s="118"/>
    </row>
    <row r="64" ht="15" customHeight="1"/>
    <row r="65" ht="15" customHeight="1"/>
    <row r="66" ht="15" customHeight="1"/>
    <row r="67" ht="15" customHeight="1"/>
    <row r="68" ht="15" customHeight="1"/>
    <row r="69" ht="15" customHeight="1"/>
    <row r="70" ht="15" customHeight="1"/>
  </sheetData>
  <sheetProtection password="CFA3" sheet="1" objects="1" scenarios="1" selectLockedCells="1"/>
  <printOptions/>
  <pageMargins left="0.4" right="0.33" top="1" bottom="1" header="0.5" footer="0.5"/>
  <pageSetup fitToHeight="2" horizontalDpi="600" verticalDpi="600" orientation="landscape"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codeName="Sheet21">
    <pageSetUpPr fitToPage="1"/>
  </sheetPr>
  <dimension ref="A1:L233"/>
  <sheetViews>
    <sheetView zoomScalePageLayoutView="0" workbookViewId="0" topLeftCell="A1">
      <selection activeCell="D60" sqref="D60"/>
    </sheetView>
  </sheetViews>
  <sheetFormatPr defaultColWidth="9.140625" defaultRowHeight="12.75"/>
  <cols>
    <col min="1" max="1" width="42.140625" style="45" customWidth="1"/>
    <col min="2" max="2" width="20.00390625" style="3" customWidth="1"/>
    <col min="3" max="3" width="16.28125" style="0" customWidth="1"/>
    <col min="4" max="4" width="12.8515625" style="0" customWidth="1"/>
    <col min="5" max="5" width="13.421875" style="0" customWidth="1"/>
    <col min="6" max="6" width="13.8515625" style="0" customWidth="1"/>
    <col min="7" max="7" width="11.140625" style="0" customWidth="1"/>
    <col min="8" max="8" width="14.28125" style="0" customWidth="1"/>
  </cols>
  <sheetData>
    <row r="1" ht="18">
      <c r="A1" s="41" t="s">
        <v>7</v>
      </c>
    </row>
    <row r="2" ht="15">
      <c r="A2" s="54"/>
    </row>
    <row r="3" spans="1:8" s="54" customFormat="1" ht="15.75">
      <c r="A3" s="54" t="s">
        <v>65</v>
      </c>
      <c r="B3" s="56">
        <f>Input!C24</f>
        <v>0</v>
      </c>
      <c r="F3" s="107"/>
      <c r="G3" s="107"/>
      <c r="H3" s="107"/>
    </row>
    <row r="4" spans="1:8" s="54" customFormat="1" ht="15.75">
      <c r="A4" s="54" t="s">
        <v>215</v>
      </c>
      <c r="B4" s="56">
        <f>Input!C25</f>
        <v>0</v>
      </c>
      <c r="F4" s="107"/>
      <c r="G4" s="107"/>
      <c r="H4" s="107"/>
    </row>
    <row r="5" spans="1:8" s="54" customFormat="1" ht="15.75">
      <c r="A5" s="54" t="s">
        <v>45</v>
      </c>
      <c r="B5"/>
      <c r="F5" s="107"/>
      <c r="G5" s="107"/>
      <c r="H5" s="107"/>
    </row>
    <row r="6" spans="1:8" s="54" customFormat="1" ht="15.75">
      <c r="A6" s="54" t="s">
        <v>66</v>
      </c>
      <c r="B6" s="55" t="e">
        <f>#REF!</f>
        <v>#REF!</v>
      </c>
      <c r="F6" s="107"/>
      <c r="G6" s="107"/>
      <c r="H6" s="107"/>
    </row>
    <row r="7" spans="1:8" s="54" customFormat="1" ht="15.75">
      <c r="A7" s="54" t="s">
        <v>67</v>
      </c>
      <c r="B7" s="57" t="e">
        <f>#REF!</f>
        <v>#REF!</v>
      </c>
      <c r="F7" s="107"/>
      <c r="G7" s="107"/>
      <c r="H7" s="107"/>
    </row>
    <row r="8" spans="1:8" s="54" customFormat="1" ht="15.75">
      <c r="A8" s="54" t="s">
        <v>68</v>
      </c>
      <c r="B8" s="55" t="e">
        <f>#REF!</f>
        <v>#REF!</v>
      </c>
      <c r="F8" s="107"/>
      <c r="G8" s="107"/>
      <c r="H8" s="107"/>
    </row>
    <row r="9" spans="1:8" s="54" customFormat="1" ht="15.75">
      <c r="A9" s="54" t="s">
        <v>69</v>
      </c>
      <c r="B9" s="58" t="e">
        <f>#REF!</f>
        <v>#REF!</v>
      </c>
      <c r="F9" s="107"/>
      <c r="G9" s="107"/>
      <c r="H9" s="107"/>
    </row>
    <row r="10" spans="1:8" s="54" customFormat="1" ht="15.75">
      <c r="A10" s="54" t="s">
        <v>70</v>
      </c>
      <c r="B10" s="58" t="e">
        <f>#REF!</f>
        <v>#REF!</v>
      </c>
      <c r="F10" s="107"/>
      <c r="G10" s="107"/>
      <c r="H10" s="107"/>
    </row>
    <row r="11" spans="1:8" s="54" customFormat="1" ht="15.75">
      <c r="A11" s="54" t="s">
        <v>71</v>
      </c>
      <c r="B11" s="55" t="e">
        <f>#REF!</f>
        <v>#REF!</v>
      </c>
      <c r="F11" s="107"/>
      <c r="G11" s="107"/>
      <c r="H11" s="107"/>
    </row>
    <row r="12" spans="1:8" s="54" customFormat="1" ht="15.75">
      <c r="A12" s="54" t="s">
        <v>72</v>
      </c>
      <c r="B12" s="59" t="e">
        <f>MIN(#REF!,#REF!)</f>
        <v>#REF!</v>
      </c>
      <c r="F12" s="107"/>
      <c r="G12" s="107"/>
      <c r="H12" s="107"/>
    </row>
    <row r="13" spans="1:8" s="54" customFormat="1" ht="15.75">
      <c r="A13" s="54" t="s">
        <v>73</v>
      </c>
      <c r="B13" s="59" t="e">
        <f>B12</f>
        <v>#REF!</v>
      </c>
      <c r="F13" s="107"/>
      <c r="G13" s="107"/>
      <c r="H13" s="107"/>
    </row>
    <row r="14" spans="1:8" s="54" customFormat="1" ht="15.75">
      <c r="A14" s="54" t="s">
        <v>74</v>
      </c>
      <c r="B14" s="61" t="e">
        <f>#REF!</f>
        <v>#REF!</v>
      </c>
      <c r="F14" s="107"/>
      <c r="G14" s="107"/>
      <c r="H14" s="107"/>
    </row>
    <row r="15" spans="2:8" s="54" customFormat="1" ht="15.75">
      <c r="B15" s="62"/>
      <c r="F15" s="107"/>
      <c r="G15" s="107"/>
      <c r="H15" s="547"/>
    </row>
    <row r="16" spans="2:8" s="54" customFormat="1" ht="15.75">
      <c r="B16" s="62"/>
      <c r="F16" s="107"/>
      <c r="G16" s="107"/>
      <c r="H16" s="547"/>
    </row>
    <row r="17" spans="1:8" s="54" customFormat="1" ht="15.75">
      <c r="A17" s="54" t="s">
        <v>150</v>
      </c>
      <c r="B17" s="55" t="e">
        <f>#REF!</f>
        <v>#REF!</v>
      </c>
      <c r="F17" s="107"/>
      <c r="G17" s="107"/>
      <c r="H17" s="547"/>
    </row>
    <row r="18" spans="1:8" ht="15.75">
      <c r="A18" s="54" t="s">
        <v>227</v>
      </c>
      <c r="B18" s="58" t="e">
        <f>#REF!</f>
        <v>#REF!</v>
      </c>
      <c r="C18" s="54"/>
      <c r="D18" s="54"/>
      <c r="E18" s="54"/>
      <c r="F18" s="107"/>
      <c r="G18" s="107"/>
      <c r="H18" s="547"/>
    </row>
    <row r="19" spans="1:8" ht="12.75" customHeight="1">
      <c r="A19" s="54"/>
      <c r="B19" s="58"/>
      <c r="C19" s="54"/>
      <c r="D19" s="548"/>
      <c r="E19" s="548"/>
      <c r="F19" s="107"/>
      <c r="G19" s="107"/>
      <c r="H19" s="547"/>
    </row>
    <row r="20" spans="1:8" ht="15.75">
      <c r="A20" s="54"/>
      <c r="B20" s="55"/>
      <c r="C20" s="54"/>
      <c r="D20" s="548"/>
      <c r="E20" s="548"/>
      <c r="F20" s="107"/>
      <c r="G20" s="107"/>
      <c r="H20" s="547"/>
    </row>
    <row r="21" spans="1:8" ht="15.75">
      <c r="A21" s="54" t="s">
        <v>228</v>
      </c>
      <c r="B21" s="55"/>
      <c r="C21" s="54"/>
      <c r="D21" s="54"/>
      <c r="E21" s="54"/>
      <c r="F21" s="107"/>
      <c r="G21" s="107"/>
      <c r="H21" s="547"/>
    </row>
    <row r="22" spans="1:8" ht="15.75">
      <c r="A22" s="54" t="s">
        <v>4</v>
      </c>
      <c r="B22" s="100">
        <f>Input!C6</f>
        <v>0</v>
      </c>
      <c r="D22" s="100">
        <f>Input!C4</f>
        <v>0</v>
      </c>
      <c r="E22" s="54"/>
      <c r="F22" s="107"/>
      <c r="G22" s="107"/>
      <c r="H22" s="547"/>
    </row>
    <row r="23" spans="1:8" ht="15.75">
      <c r="A23" s="54"/>
      <c r="C23" s="54"/>
      <c r="D23" s="54"/>
      <c r="E23" s="54"/>
      <c r="F23" s="107"/>
      <c r="G23" s="107"/>
      <c r="H23" s="547"/>
    </row>
    <row r="24" spans="1:8" ht="15.75">
      <c r="A24" s="54"/>
      <c r="C24" s="54"/>
      <c r="D24" s="54"/>
      <c r="E24" s="54"/>
      <c r="F24" s="107"/>
      <c r="G24" s="107"/>
      <c r="H24" s="547"/>
    </row>
    <row r="25" spans="1:8" ht="15.75">
      <c r="A25" s="54" t="s">
        <v>90</v>
      </c>
      <c r="B25"/>
      <c r="C25" s="54"/>
      <c r="D25" s="54"/>
      <c r="E25" s="54"/>
      <c r="F25" s="107"/>
      <c r="G25" s="107"/>
      <c r="H25" s="547"/>
    </row>
    <row r="26" spans="1:8" s="33" customFormat="1" ht="15.75">
      <c r="A26" s="98" t="s">
        <v>2</v>
      </c>
      <c r="B26"/>
      <c r="C26" s="98"/>
      <c r="D26" s="98"/>
      <c r="E26" s="98"/>
      <c r="F26" s="107"/>
      <c r="G26" s="107"/>
      <c r="H26" s="547"/>
    </row>
    <row r="27" spans="1:8" ht="15.75">
      <c r="A27" s="54" t="s">
        <v>47</v>
      </c>
      <c r="B27" s="63">
        <f>Input!C17</f>
        <v>0</v>
      </c>
      <c r="D27" s="54"/>
      <c r="E27" s="54"/>
      <c r="F27" s="107"/>
      <c r="G27" s="107"/>
      <c r="H27" s="547"/>
    </row>
    <row r="28" spans="1:8" ht="13.5" customHeight="1">
      <c r="A28" s="54" t="s">
        <v>229</v>
      </c>
      <c r="B28" s="58" t="e">
        <f>#REF!</f>
        <v>#REF!</v>
      </c>
      <c r="C28" s="54"/>
      <c r="D28" s="54"/>
      <c r="E28" s="54"/>
      <c r="F28" s="107"/>
      <c r="G28" s="107"/>
      <c r="H28" s="547"/>
    </row>
    <row r="29" spans="1:8" ht="13.5" customHeight="1">
      <c r="A29" s="54" t="s">
        <v>192</v>
      </c>
      <c r="B29" s="58"/>
      <c r="C29" s="54"/>
      <c r="D29" s="54"/>
      <c r="E29" s="54"/>
      <c r="F29" s="107"/>
      <c r="G29" s="107"/>
      <c r="H29" s="547"/>
    </row>
    <row r="30" spans="1:8" ht="13.5" customHeight="1">
      <c r="A30" s="54" t="s">
        <v>5</v>
      </c>
      <c r="B30" s="50">
        <f>B22</f>
        <v>0</v>
      </c>
      <c r="D30" s="100" t="e">
        <f>#REF!</f>
        <v>#REF!</v>
      </c>
      <c r="E30" s="54"/>
      <c r="F30" s="107"/>
      <c r="G30" s="107"/>
      <c r="H30" s="547"/>
    </row>
    <row r="31" spans="1:8" ht="13.5" customHeight="1">
      <c r="A31" s="54" t="s">
        <v>47</v>
      </c>
      <c r="B31" s="63" t="e">
        <f>#REF!</f>
        <v>#REF!</v>
      </c>
      <c r="D31" s="54"/>
      <c r="E31" s="54"/>
      <c r="F31" s="107"/>
      <c r="G31" s="107"/>
      <c r="H31" s="547"/>
    </row>
    <row r="32" spans="1:8" ht="13.5" customHeight="1">
      <c r="A32" s="54" t="s">
        <v>229</v>
      </c>
      <c r="B32" s="58" t="e">
        <f>#REF!</f>
        <v>#REF!</v>
      </c>
      <c r="C32" s="54"/>
      <c r="D32" s="54"/>
      <c r="E32" s="54"/>
      <c r="F32" s="107"/>
      <c r="G32" s="107"/>
      <c r="H32" s="547"/>
    </row>
    <row r="33" spans="1:8" ht="13.5" customHeight="1">
      <c r="A33" s="54" t="s">
        <v>300</v>
      </c>
      <c r="B33" s="58" t="e">
        <f>#REF!</f>
        <v>#REF!</v>
      </c>
      <c r="C33" s="54"/>
      <c r="D33" s="54"/>
      <c r="E33" s="54"/>
      <c r="F33" s="107"/>
      <c r="G33" s="107"/>
      <c r="H33" s="547"/>
    </row>
    <row r="34" spans="1:8" ht="13.5" customHeight="1">
      <c r="A34" s="54" t="s">
        <v>88</v>
      </c>
      <c r="B34"/>
      <c r="C34" s="54"/>
      <c r="D34" s="54"/>
      <c r="E34" s="54"/>
      <c r="F34" s="108"/>
      <c r="G34" s="28"/>
      <c r="H34" s="28"/>
    </row>
    <row r="35" spans="1:8" ht="13.5" customHeight="1">
      <c r="A35" s="54" t="s">
        <v>91</v>
      </c>
      <c r="B35"/>
      <c r="C35" s="54"/>
      <c r="D35" s="54"/>
      <c r="E35" s="54"/>
      <c r="F35" s="54"/>
      <c r="G35" s="54"/>
      <c r="H35" s="54"/>
    </row>
    <row r="36" spans="1:8" ht="13.5" customHeight="1">
      <c r="A36" s="54" t="s">
        <v>92</v>
      </c>
      <c r="B36" s="92">
        <f>IF(OR(B4="M",B4="Married"),IF(OR(B3="M",B3="Male"),"Female","Male"),"")</f>
      </c>
      <c r="C36" s="54"/>
      <c r="D36" s="54"/>
      <c r="E36" s="54"/>
      <c r="F36" s="54"/>
      <c r="G36" s="54"/>
      <c r="H36" s="54"/>
    </row>
    <row r="37" spans="1:8" ht="13.5" customHeight="1">
      <c r="A37" s="54" t="s">
        <v>3</v>
      </c>
      <c r="B37"/>
      <c r="C37" s="54"/>
      <c r="D37" s="54"/>
      <c r="E37" s="54"/>
      <c r="F37" s="54"/>
      <c r="G37" s="54"/>
      <c r="H37" s="54"/>
    </row>
    <row r="38" spans="1:8" ht="13.5" customHeight="1">
      <c r="A38" s="54" t="s">
        <v>85</v>
      </c>
      <c r="B38" s="88" t="s">
        <v>116</v>
      </c>
      <c r="C38" s="88" t="s">
        <v>117</v>
      </c>
      <c r="D38" s="54" t="s">
        <v>93</v>
      </c>
      <c r="E38" s="54"/>
      <c r="F38" s="54"/>
      <c r="G38" s="54"/>
      <c r="H38" s="54"/>
    </row>
    <row r="39" spans="1:8" ht="13.5" customHeight="1">
      <c r="A39" s="65" t="e">
        <f>#REF!</f>
        <v>#REF!</v>
      </c>
      <c r="B39" s="66" t="e">
        <f>#REF!</f>
        <v>#REF!</v>
      </c>
      <c r="C39" s="67" t="e">
        <f>#REF!</f>
        <v>#REF!</v>
      </c>
      <c r="E39" s="54"/>
      <c r="F39" s="54"/>
      <c r="G39" s="54"/>
      <c r="H39" s="54"/>
    </row>
    <row r="40" spans="1:8" ht="13.5" customHeight="1">
      <c r="A40" s="65" t="e">
        <f>#REF!</f>
        <v>#REF!</v>
      </c>
      <c r="B40" s="66" t="e">
        <f>#REF!</f>
        <v>#REF!</v>
      </c>
      <c r="C40" s="67" t="e">
        <f>#REF!</f>
        <v>#REF!</v>
      </c>
      <c r="E40" s="54"/>
      <c r="F40" s="54"/>
      <c r="G40" s="54"/>
      <c r="H40" s="54"/>
    </row>
    <row r="41" spans="1:8" ht="13.5" customHeight="1">
      <c r="A41" s="65" t="e">
        <f>#REF!</f>
        <v>#REF!</v>
      </c>
      <c r="B41" s="66" t="e">
        <f>#REF!</f>
        <v>#REF!</v>
      </c>
      <c r="C41" s="67" t="e">
        <f>#REF!</f>
        <v>#REF!</v>
      </c>
      <c r="E41" s="54"/>
      <c r="F41" s="54"/>
      <c r="G41" s="54"/>
      <c r="H41" s="54"/>
    </row>
    <row r="42" spans="1:8" ht="13.5" customHeight="1">
      <c r="A42" s="65" t="e">
        <f>#REF!</f>
        <v>#REF!</v>
      </c>
      <c r="B42" s="66" t="e">
        <f>#REF!</f>
        <v>#REF!</v>
      </c>
      <c r="C42" s="67" t="e">
        <f>#REF!</f>
        <v>#REF!</v>
      </c>
      <c r="E42" s="54"/>
      <c r="F42" s="54"/>
      <c r="G42" s="54"/>
      <c r="H42" s="54"/>
    </row>
    <row r="43" spans="1:8" ht="13.5" customHeight="1">
      <c r="A43" s="65"/>
      <c r="B43" s="66"/>
      <c r="C43" s="67"/>
      <c r="D43" s="54"/>
      <c r="E43" s="54"/>
      <c r="F43" s="54"/>
      <c r="G43" s="54"/>
      <c r="H43" s="54"/>
    </row>
    <row r="44" spans="1:8" ht="13.5" customHeight="1">
      <c r="A44" s="54"/>
      <c r="B44" s="55"/>
      <c r="C44" s="54"/>
      <c r="D44" s="54"/>
      <c r="E44" s="54"/>
      <c r="F44" s="54"/>
      <c r="G44" s="54"/>
      <c r="H44" s="54"/>
    </row>
    <row r="45" spans="1:8" ht="15">
      <c r="A45" s="54" t="s">
        <v>230</v>
      </c>
      <c r="B45" s="55"/>
      <c r="C45" s="54"/>
      <c r="D45" s="54"/>
      <c r="E45" s="54"/>
      <c r="F45" s="54"/>
      <c r="G45" s="54"/>
      <c r="H45" s="54"/>
    </row>
    <row r="46" spans="1:8" ht="15">
      <c r="A46" s="54" t="s">
        <v>231</v>
      </c>
      <c r="B46" s="68" t="e">
        <f>#REF!</f>
        <v>#REF!</v>
      </c>
      <c r="C46" s="54"/>
      <c r="D46" s="54"/>
      <c r="E46" s="54"/>
      <c r="F46" s="54"/>
      <c r="G46" s="54"/>
      <c r="H46" s="54"/>
    </row>
    <row r="47" spans="1:8" ht="15">
      <c r="A47" s="54" t="s">
        <v>232</v>
      </c>
      <c r="B47" s="68" t="e">
        <f>#REF!</f>
        <v>#REF!</v>
      </c>
      <c r="C47" s="54"/>
      <c r="D47" s="54"/>
      <c r="E47" s="54"/>
      <c r="F47" s="54"/>
      <c r="G47" s="54"/>
      <c r="H47" s="54"/>
    </row>
    <row r="48" spans="1:8" ht="15">
      <c r="A48" s="54" t="s">
        <v>233</v>
      </c>
      <c r="B48" s="64">
        <f>Input!C11</f>
        <v>0</v>
      </c>
      <c r="C48" s="69">
        <f>Input!C12</f>
        <v>0</v>
      </c>
      <c r="D48" s="69">
        <f>Input!C13</f>
        <v>0</v>
      </c>
      <c r="E48" s="54"/>
      <c r="F48" s="54"/>
      <c r="G48" s="54"/>
      <c r="H48" s="54"/>
    </row>
    <row r="49" spans="1:8" ht="15">
      <c r="A49" s="54" t="s">
        <v>46</v>
      </c>
      <c r="B49" t="s">
        <v>1</v>
      </c>
      <c r="C49" s="54"/>
      <c r="D49" s="54"/>
      <c r="E49" s="54"/>
      <c r="F49" s="54"/>
      <c r="G49" s="54"/>
      <c r="H49" s="54"/>
    </row>
    <row r="50" spans="1:8" ht="15">
      <c r="A50" s="54"/>
      <c r="B50" s="55"/>
      <c r="C50" s="54"/>
      <c r="D50" s="54"/>
      <c r="E50" s="54"/>
      <c r="F50" s="54"/>
      <c r="G50" s="54"/>
      <c r="H50" s="54"/>
    </row>
    <row r="51" spans="1:8" ht="15">
      <c r="A51" s="54" t="s">
        <v>234</v>
      </c>
      <c r="B51" s="55"/>
      <c r="C51" s="54"/>
      <c r="D51" s="54"/>
      <c r="E51" s="54"/>
      <c r="F51" s="54"/>
      <c r="G51" s="54"/>
      <c r="H51" s="54"/>
    </row>
    <row r="52" spans="1:8" ht="15">
      <c r="A52" s="54" t="s">
        <v>235</v>
      </c>
      <c r="B52" s="70" t="e">
        <f>#REF!+#REF!-B53</f>
        <v>#REF!</v>
      </c>
      <c r="C52" s="54"/>
      <c r="D52" s="54"/>
      <c r="E52" s="54"/>
      <c r="F52" s="54"/>
      <c r="G52" s="54"/>
      <c r="H52" s="54"/>
    </row>
    <row r="53" spans="1:8" ht="15">
      <c r="A53" s="54" t="s">
        <v>236</v>
      </c>
      <c r="B53">
        <v>0</v>
      </c>
      <c r="C53" s="54"/>
      <c r="D53" s="54"/>
      <c r="E53" s="54"/>
      <c r="F53" s="54"/>
      <c r="G53" s="54"/>
      <c r="H53" s="54"/>
    </row>
    <row r="54" spans="1:8" ht="15">
      <c r="A54" s="54" t="s">
        <v>237</v>
      </c>
      <c r="B54" s="70" t="e">
        <f>#REF!</f>
        <v>#REF!</v>
      </c>
      <c r="C54" s="54"/>
      <c r="D54" s="54"/>
      <c r="E54" s="54"/>
      <c r="F54" s="54"/>
      <c r="G54" s="54"/>
      <c r="H54" s="54"/>
    </row>
    <row r="55" spans="1:8" ht="15">
      <c r="A55" s="54" t="s">
        <v>238</v>
      </c>
      <c r="B55" s="70" t="e">
        <f>#REF!</f>
        <v>#REF!</v>
      </c>
      <c r="C55" s="54"/>
      <c r="D55" s="54"/>
      <c r="E55" s="54"/>
      <c r="F55" s="54"/>
      <c r="G55" s="54"/>
      <c r="H55" s="54"/>
    </row>
    <row r="56" spans="1:8" ht="15">
      <c r="A56" s="54" t="s">
        <v>263</v>
      </c>
      <c r="B56" s="70" t="e">
        <f>SUM(B52:B55)</f>
        <v>#REF!</v>
      </c>
      <c r="C56" s="54"/>
      <c r="D56" s="54"/>
      <c r="E56" s="54"/>
      <c r="F56" s="54"/>
      <c r="G56" s="54"/>
      <c r="H56" s="54"/>
    </row>
    <row r="57" spans="1:8" ht="15">
      <c r="A57" s="54" t="s">
        <v>239</v>
      </c>
      <c r="B57" s="70" t="e">
        <f>#REF!</f>
        <v>#REF!</v>
      </c>
      <c r="C57" s="54"/>
      <c r="D57" s="54"/>
      <c r="E57" s="54"/>
      <c r="F57" s="54"/>
      <c r="G57" s="54"/>
      <c r="H57" s="54"/>
    </row>
    <row r="58" spans="1:8" ht="15">
      <c r="A58" s="54" t="s">
        <v>63</v>
      </c>
      <c r="B58" s="70" t="e">
        <f>SUM(B56)</f>
        <v>#REF!</v>
      </c>
      <c r="C58" s="54"/>
      <c r="D58" s="54"/>
      <c r="E58" s="54"/>
      <c r="F58" s="54"/>
      <c r="G58" s="54"/>
      <c r="H58" s="54"/>
    </row>
    <row r="59" spans="1:8" ht="15">
      <c r="A59" s="54" t="s">
        <v>89</v>
      </c>
      <c r="B59"/>
      <c r="C59" s="54"/>
      <c r="D59" s="54"/>
      <c r="E59" s="54"/>
      <c r="F59" s="54"/>
      <c r="G59" s="54"/>
      <c r="H59" s="54"/>
    </row>
    <row r="60" spans="1:8" ht="15">
      <c r="A60" s="54"/>
      <c r="B60" s="70"/>
      <c r="C60" s="54"/>
      <c r="D60" s="54"/>
      <c r="E60" s="54"/>
      <c r="F60" s="54"/>
      <c r="G60" s="54"/>
      <c r="H60" s="54"/>
    </row>
    <row r="61" spans="1:8" ht="15">
      <c r="A61" s="54" t="s">
        <v>240</v>
      </c>
      <c r="B61" s="71" t="e">
        <f>IF(#REF!="s","F","T")</f>
        <v>#REF!</v>
      </c>
      <c r="C61" s="54"/>
      <c r="D61" s="54"/>
      <c r="E61" s="54"/>
      <c r="F61" s="54"/>
      <c r="G61" s="54"/>
      <c r="H61" s="54"/>
    </row>
    <row r="62" spans="1:8" ht="15">
      <c r="A62" s="54" t="s">
        <v>241</v>
      </c>
      <c r="B62" s="71" t="e">
        <f>B63-10%</f>
        <v>#REF!</v>
      </c>
      <c r="C62" s="54"/>
      <c r="D62" s="54"/>
      <c r="E62" s="54"/>
      <c r="F62" s="54"/>
      <c r="G62" s="54"/>
      <c r="H62" s="54"/>
    </row>
    <row r="63" spans="1:8" ht="15">
      <c r="A63" s="54" t="s">
        <v>242</v>
      </c>
      <c r="B63" s="71" t="e">
        <f>#REF!</f>
        <v>#REF!</v>
      </c>
      <c r="C63" s="54"/>
      <c r="D63" s="54"/>
      <c r="E63" s="54"/>
      <c r="F63" s="54"/>
      <c r="G63" s="54"/>
      <c r="H63" s="54"/>
    </row>
    <row r="64" spans="1:8" ht="15">
      <c r="A64" s="54" t="s">
        <v>128</v>
      </c>
      <c r="B64" s="70" t="e">
        <f>#REF!</f>
        <v>#REF!</v>
      </c>
      <c r="C64" s="54"/>
      <c r="D64" s="54"/>
      <c r="E64" s="54"/>
      <c r="F64" s="54"/>
      <c r="G64" s="54"/>
      <c r="H64" s="54"/>
    </row>
    <row r="65" spans="1:8" ht="15">
      <c r="A65" s="54"/>
      <c r="B65" s="70"/>
      <c r="C65" s="54"/>
      <c r="D65" s="54"/>
      <c r="E65" s="54"/>
      <c r="F65" s="54"/>
      <c r="G65" s="54"/>
      <c r="H65" s="54"/>
    </row>
    <row r="66" spans="1:8" ht="15">
      <c r="A66" s="54" t="s">
        <v>224</v>
      </c>
      <c r="B66" s="89" t="s">
        <v>12</v>
      </c>
      <c r="C66" s="90" t="s">
        <v>48</v>
      </c>
      <c r="D66" s="90" t="s">
        <v>56</v>
      </c>
      <c r="E66" s="90" t="s">
        <v>14</v>
      </c>
      <c r="F66" s="54"/>
      <c r="G66" s="54"/>
      <c r="H66" s="54"/>
    </row>
    <row r="67" spans="1:8" ht="15">
      <c r="A67" s="54" t="s">
        <v>50</v>
      </c>
      <c r="B67" s="72" t="e">
        <f>#REF!-D67</f>
        <v>#REF!</v>
      </c>
      <c r="C67" s="72" t="e">
        <f>#REF!</f>
        <v>#REF!</v>
      </c>
      <c r="D67" s="73" t="e">
        <f>#REF!*B$53/(B$52+B$53)</f>
        <v>#REF!</v>
      </c>
      <c r="E67" s="73" t="e">
        <f>SUM(B67:D67)</f>
        <v>#REF!</v>
      </c>
      <c r="F67" s="54"/>
      <c r="G67" s="54"/>
      <c r="H67" s="54"/>
    </row>
    <row r="68" spans="1:8" ht="15">
      <c r="A68" s="54" t="s">
        <v>51</v>
      </c>
      <c r="B68" s="72" t="e">
        <f>#REF!-D68</f>
        <v>#REF!</v>
      </c>
      <c r="C68" s="72" t="e">
        <f>#REF!</f>
        <v>#REF!</v>
      </c>
      <c r="D68" s="73" t="e">
        <f>#REF!*B$53/(B$52+B$53)</f>
        <v>#REF!</v>
      </c>
      <c r="E68" s="73" t="e">
        <f>SUM(B68:D68)</f>
        <v>#REF!</v>
      </c>
      <c r="F68" s="54"/>
      <c r="G68" s="54"/>
      <c r="H68" s="54"/>
    </row>
    <row r="69" spans="1:8" ht="15">
      <c r="A69" s="54" t="s">
        <v>64</v>
      </c>
      <c r="B69" s="72" t="e">
        <f>#REF!-D69</f>
        <v>#REF!</v>
      </c>
      <c r="C69" s="72" t="e">
        <f>#REF!</f>
        <v>#REF!</v>
      </c>
      <c r="D69" s="73" t="e">
        <f>#REF!*B$53/(B$52+B$53)</f>
        <v>#REF!</v>
      </c>
      <c r="E69" s="73" t="e">
        <f>SUM(B69:D69)</f>
        <v>#REF!</v>
      </c>
      <c r="F69" s="54"/>
      <c r="G69" s="54"/>
      <c r="H69" s="54"/>
    </row>
    <row r="70" spans="1:8" ht="15">
      <c r="A70" s="54" t="s">
        <v>52</v>
      </c>
      <c r="B70" s="70" t="e">
        <f>#REF!-D70</f>
        <v>#REF!</v>
      </c>
      <c r="D70" t="e">
        <f>#REF!*B$53/(B$52+B$53)</f>
        <v>#REF!</v>
      </c>
      <c r="E70" s="73" t="e">
        <f>SUM(B70:D70)</f>
        <v>#REF!</v>
      </c>
      <c r="F70" s="54"/>
      <c r="G70" s="54"/>
      <c r="H70" s="54"/>
    </row>
    <row r="71" spans="1:8" ht="15">
      <c r="A71" s="54" t="s">
        <v>53</v>
      </c>
      <c r="B71" s="72" t="e">
        <f>#REF!</f>
        <v>#REF!</v>
      </c>
      <c r="E71" s="73" t="e">
        <f>SUM(B71:D71)</f>
        <v>#REF!</v>
      </c>
      <c r="F71" s="54"/>
      <c r="G71" s="54"/>
      <c r="H71" s="54"/>
    </row>
    <row r="72" spans="1:8" ht="15">
      <c r="A72" s="54" t="s">
        <v>94</v>
      </c>
      <c r="B72" s="99" t="e">
        <f>SUM(B68:B71)</f>
        <v>#REF!</v>
      </c>
      <c r="C72" s="99" t="e">
        <f>SUM(C68:C71)</f>
        <v>#REF!</v>
      </c>
      <c r="D72" s="99" t="e">
        <f>SUM(D68:D71)</f>
        <v>#REF!</v>
      </c>
      <c r="E72" s="99" t="e">
        <f>SUM(E68:E71)</f>
        <v>#REF!</v>
      </c>
      <c r="F72" s="54"/>
      <c r="G72" s="54"/>
      <c r="H72" s="54"/>
    </row>
    <row r="73" spans="1:8" ht="15">
      <c r="A73" s="54" t="s">
        <v>54</v>
      </c>
      <c r="B73" s="72" t="e">
        <f>#REF!-D73</f>
        <v>#REF!</v>
      </c>
      <c r="C73" s="72" t="e">
        <f>#REF!</f>
        <v>#REF!</v>
      </c>
      <c r="D73" s="73" t="e">
        <f>#REF!*B$53/(B$52+B$53)</f>
        <v>#REF!</v>
      </c>
      <c r="E73" s="73" t="e">
        <f>SUM(B73:D73)</f>
        <v>#REF!</v>
      </c>
      <c r="F73" s="54"/>
      <c r="G73" s="54"/>
      <c r="H73" s="54"/>
    </row>
    <row r="74" spans="1:8" ht="15">
      <c r="A74" s="54" t="s">
        <v>55</v>
      </c>
      <c r="B74" s="72" t="e">
        <f>SUM(B72:B73)</f>
        <v>#REF!</v>
      </c>
      <c r="C74" s="72" t="e">
        <f>SUM(C72:C73)</f>
        <v>#REF!</v>
      </c>
      <c r="D74" s="72" t="e">
        <f>SUM(D72:D73)</f>
        <v>#REF!</v>
      </c>
      <c r="E74" s="72" t="e">
        <f>SUM(E72:E73)</f>
        <v>#REF!</v>
      </c>
      <c r="F74" s="54"/>
      <c r="G74" s="54"/>
      <c r="H74" s="54"/>
    </row>
    <row r="75" spans="1:8" ht="15">
      <c r="A75" s="54"/>
      <c r="B75" s="89"/>
      <c r="C75" s="90"/>
      <c r="D75" s="90"/>
      <c r="E75" s="90"/>
      <c r="F75" s="54"/>
      <c r="G75" s="54"/>
      <c r="H75" s="54"/>
    </row>
    <row r="76" spans="1:8" ht="15">
      <c r="A76" s="54"/>
      <c r="B76" s="74"/>
      <c r="C76" s="54"/>
      <c r="D76" s="54"/>
      <c r="E76" s="73"/>
      <c r="F76" s="54"/>
      <c r="G76" s="54"/>
      <c r="H76" s="75"/>
    </row>
    <row r="77" spans="1:8" ht="15">
      <c r="A77" s="54"/>
      <c r="B77" s="62"/>
      <c r="C77" s="54"/>
      <c r="D77" s="54"/>
      <c r="E77" s="73"/>
      <c r="F77" s="54"/>
      <c r="G77" s="54"/>
      <c r="H77" s="54"/>
    </row>
    <row r="78" spans="1:8" ht="15">
      <c r="A78" s="54"/>
      <c r="B78" s="62"/>
      <c r="C78" s="54"/>
      <c r="D78" s="54"/>
      <c r="E78" s="73"/>
      <c r="F78" s="54"/>
      <c r="G78" s="54"/>
      <c r="H78" s="54"/>
    </row>
    <row r="79" spans="1:8" ht="15">
      <c r="A79" s="54"/>
      <c r="B79" s="62"/>
      <c r="C79" s="54"/>
      <c r="D79" s="54"/>
      <c r="E79" s="54"/>
      <c r="F79" s="54"/>
      <c r="G79" s="54"/>
      <c r="H79" s="54"/>
    </row>
    <row r="80" spans="1:8" ht="15">
      <c r="A80" s="54" t="s">
        <v>83</v>
      </c>
      <c r="B80" s="89" t="s">
        <v>146</v>
      </c>
      <c r="C80" s="90" t="s">
        <v>192</v>
      </c>
      <c r="D80" s="90"/>
      <c r="E80" s="90"/>
      <c r="F80" s="54"/>
      <c r="G80" s="54"/>
      <c r="H80" s="54"/>
    </row>
    <row r="81" spans="1:8" ht="15">
      <c r="A81" s="54" t="s">
        <v>84</v>
      </c>
      <c r="B81" s="62" t="e">
        <f>LOOKUP(MAX(#REF!,#REF!+#REF!+#REF!+#REF!),SHARP_Category)</f>
        <v>#REF!</v>
      </c>
      <c r="C81" s="62" t="e">
        <f>IF(#REF!&gt;0,LOOKUP(MAX(#REF!,#REF!+#REF!+#REF!+#REF!),SHARP_Category),"")</f>
        <v>#REF!</v>
      </c>
      <c r="D81" s="54"/>
      <c r="E81" s="54"/>
      <c r="F81" s="54"/>
      <c r="G81" s="54"/>
      <c r="H81" s="54"/>
    </row>
    <row r="82" spans="1:8" ht="15">
      <c r="A82" s="54"/>
      <c r="B82" s="62"/>
      <c r="C82" s="62"/>
      <c r="D82" s="73"/>
      <c r="E82" s="54"/>
      <c r="F82" s="54"/>
      <c r="G82" s="54"/>
      <c r="H82" s="54"/>
    </row>
    <row r="83" spans="1:8" ht="15">
      <c r="A83" s="54"/>
      <c r="B83" s="62"/>
      <c r="C83" s="62"/>
      <c r="D83" s="73"/>
      <c r="E83" s="54"/>
      <c r="F83" s="54"/>
      <c r="G83" s="54"/>
      <c r="H83" s="54"/>
    </row>
    <row r="84" spans="1:8" ht="15">
      <c r="A84" s="54"/>
      <c r="B84" s="62"/>
      <c r="C84" s="62"/>
      <c r="D84" s="62"/>
      <c r="E84" s="54"/>
      <c r="F84" s="54"/>
      <c r="G84" s="54"/>
      <c r="H84" s="54"/>
    </row>
    <row r="85" spans="1:8" ht="15">
      <c r="A85" s="54"/>
      <c r="B85" s="62"/>
      <c r="C85" s="62"/>
      <c r="D85" s="73"/>
      <c r="E85" s="54"/>
      <c r="F85" s="54"/>
      <c r="G85" s="54"/>
      <c r="H85" s="54"/>
    </row>
    <row r="86" spans="1:8" ht="15">
      <c r="A86" s="54"/>
      <c r="B86" s="62"/>
      <c r="C86" s="62"/>
      <c r="D86" s="62"/>
      <c r="E86" s="54"/>
      <c r="F86" s="54"/>
      <c r="G86" s="54"/>
      <c r="H86" s="54"/>
    </row>
    <row r="87" spans="1:8" ht="15">
      <c r="A87" s="54"/>
      <c r="B87" s="62"/>
      <c r="C87" s="62"/>
      <c r="D87" s="73"/>
      <c r="E87" s="73"/>
      <c r="F87" s="54"/>
      <c r="G87" s="54"/>
      <c r="H87" s="54"/>
    </row>
    <row r="88" spans="3:8" ht="15">
      <c r="C88" s="91"/>
      <c r="D88" s="91"/>
      <c r="E88" s="91"/>
      <c r="F88" s="54"/>
      <c r="G88" s="54"/>
      <c r="H88" s="54"/>
    </row>
    <row r="89" spans="3:8" ht="15">
      <c r="C89" s="62"/>
      <c r="D89" s="73"/>
      <c r="E89" s="73"/>
      <c r="F89" s="54"/>
      <c r="G89" s="54"/>
      <c r="H89" s="75"/>
    </row>
    <row r="90" spans="3:8" ht="15">
      <c r="C90" s="62"/>
      <c r="D90" s="73"/>
      <c r="E90" s="73"/>
      <c r="F90" s="54"/>
      <c r="G90" s="54"/>
      <c r="H90" s="54"/>
    </row>
    <row r="91" spans="1:8" ht="15">
      <c r="A91" s="54"/>
      <c r="B91" s="62"/>
      <c r="C91" s="62"/>
      <c r="D91" s="73"/>
      <c r="E91" s="73"/>
      <c r="F91" s="54"/>
      <c r="G91" s="54"/>
      <c r="H91" s="54"/>
    </row>
    <row r="92" spans="1:8" ht="15">
      <c r="A92" s="101" t="s">
        <v>268</v>
      </c>
      <c r="B92" s="62" t="s">
        <v>155</v>
      </c>
      <c r="C92" s="62" t="s">
        <v>147</v>
      </c>
      <c r="D92" s="73" t="s">
        <v>8</v>
      </c>
      <c r="E92" s="73"/>
      <c r="F92" s="54"/>
      <c r="G92" s="54"/>
      <c r="H92" s="54"/>
    </row>
    <row r="93" spans="1:8" ht="15">
      <c r="A93" s="54" t="s">
        <v>98</v>
      </c>
      <c r="B93"/>
      <c r="D93" s="73"/>
      <c r="E93" s="54"/>
      <c r="F93" s="54"/>
      <c r="G93" s="54"/>
      <c r="H93" s="54"/>
    </row>
    <row r="94" spans="1:8" ht="15">
      <c r="A94" s="54" t="s">
        <v>100</v>
      </c>
      <c r="B94"/>
      <c r="D94" s="73"/>
      <c r="E94" s="54"/>
      <c r="F94" s="54"/>
      <c r="G94" s="54"/>
      <c r="H94" s="54"/>
    </row>
    <row r="95" spans="1:8" ht="15">
      <c r="A95" s="54" t="s">
        <v>99</v>
      </c>
      <c r="B95"/>
      <c r="D95" s="54"/>
      <c r="E95" s="54"/>
      <c r="F95" s="54"/>
      <c r="G95" s="54"/>
      <c r="H95" s="54"/>
    </row>
    <row r="96" spans="1:8" ht="15">
      <c r="A96" s="54" t="s">
        <v>101</v>
      </c>
      <c r="B96"/>
      <c r="D96" s="54"/>
      <c r="E96" s="54"/>
      <c r="F96" s="54"/>
      <c r="G96" s="54"/>
      <c r="H96" s="54"/>
    </row>
    <row r="97" spans="1:8" ht="15">
      <c r="A97" s="54"/>
      <c r="B97" s="76"/>
      <c r="C97" s="54"/>
      <c r="D97" s="54"/>
      <c r="E97" s="54"/>
      <c r="F97" s="54"/>
      <c r="G97" s="54"/>
      <c r="H97" s="54"/>
    </row>
    <row r="98" spans="1:8" ht="15">
      <c r="A98" s="54"/>
      <c r="B98" s="76"/>
      <c r="C98" s="54"/>
      <c r="D98" s="54"/>
      <c r="E98" s="54"/>
      <c r="F98" s="54"/>
      <c r="G98" s="54"/>
      <c r="H98" s="54"/>
    </row>
    <row r="99" spans="1:8" ht="15">
      <c r="A99" s="54"/>
      <c r="B99" s="55"/>
      <c r="C99" s="54"/>
      <c r="D99" s="54"/>
      <c r="E99" s="54"/>
      <c r="F99" s="54"/>
      <c r="G99" s="54"/>
      <c r="H99" s="54"/>
    </row>
    <row r="100" spans="1:8" ht="15">
      <c r="A100" s="54" t="s">
        <v>243</v>
      </c>
      <c r="B100" s="55" t="e">
        <f>IF(OR(#REF!&gt;0,#REF!&gt;0),"T","F")</f>
        <v>#REF!</v>
      </c>
      <c r="C100" s="54"/>
      <c r="D100" s="54"/>
      <c r="E100" s="54"/>
      <c r="F100" s="54"/>
      <c r="G100" s="54"/>
      <c r="H100" s="54"/>
    </row>
    <row r="101" spans="1:8" ht="15">
      <c r="A101" s="54" t="s">
        <v>264</v>
      </c>
      <c r="B101" s="62" t="e">
        <f>#REF!-B102</f>
        <v>#REF!</v>
      </c>
      <c r="C101" s="54"/>
      <c r="D101" s="54"/>
      <c r="E101" s="54"/>
      <c r="F101" s="54"/>
      <c r="G101" s="54"/>
      <c r="H101" s="54"/>
    </row>
    <row r="102" spans="1:8" ht="15">
      <c r="A102" s="54" t="s">
        <v>265</v>
      </c>
      <c r="B102" s="74" t="e">
        <f>B53/(B52+B53)*#REF!</f>
        <v>#REF!</v>
      </c>
      <c r="C102" s="54"/>
      <c r="D102" s="54"/>
      <c r="E102" s="54"/>
      <c r="F102" s="54"/>
      <c r="G102" s="54"/>
      <c r="H102" s="54"/>
    </row>
    <row r="103" spans="1:8" ht="15">
      <c r="A103" s="54" t="s">
        <v>244</v>
      </c>
      <c r="B103" s="62" t="e">
        <f>#REF!</f>
        <v>#REF!</v>
      </c>
      <c r="C103" s="54"/>
      <c r="D103" s="54"/>
      <c r="E103" s="54"/>
      <c r="F103" s="54"/>
      <c r="G103" s="54"/>
      <c r="H103" s="54"/>
    </row>
    <row r="104" spans="1:8" ht="15">
      <c r="A104" s="54" t="s">
        <v>245</v>
      </c>
      <c r="B104" s="62" t="e">
        <f>SUM(B101:B103)</f>
        <v>#REF!</v>
      </c>
      <c r="C104" s="54"/>
      <c r="D104" s="54"/>
      <c r="E104" s="54"/>
      <c r="F104" s="54"/>
      <c r="G104" s="54"/>
      <c r="H104" s="54"/>
    </row>
    <row r="105" spans="1:8" ht="15">
      <c r="A105" s="54"/>
      <c r="B105" s="55"/>
      <c r="C105" s="54"/>
      <c r="D105" s="54"/>
      <c r="E105" s="54"/>
      <c r="F105" s="54"/>
      <c r="G105" s="54"/>
      <c r="H105" s="54"/>
    </row>
    <row r="106" spans="1:8" ht="15">
      <c r="A106" s="54" t="s">
        <v>246</v>
      </c>
      <c r="B106" s="55" t="e">
        <f>IF(OR(#REF!&gt;0,#REF!&gt;0),"T","F")</f>
        <v>#REF!</v>
      </c>
      <c r="C106" s="54"/>
      <c r="D106" s="54"/>
      <c r="E106" s="54"/>
      <c r="F106" s="54"/>
      <c r="G106" s="54"/>
      <c r="H106" s="54"/>
    </row>
    <row r="107" spans="1:8" ht="15">
      <c r="A107" s="54" t="s">
        <v>247</v>
      </c>
      <c r="B107" s="62" t="e">
        <f>#REF!-B108</f>
        <v>#REF!</v>
      </c>
      <c r="C107" s="54"/>
      <c r="D107" s="54"/>
      <c r="E107" s="54"/>
      <c r="F107" s="54"/>
      <c r="G107" s="54"/>
      <c r="H107" s="54"/>
    </row>
    <row r="108" spans="1:8" ht="15">
      <c r="A108" s="54" t="s">
        <v>248</v>
      </c>
      <c r="B108" s="74" t="e">
        <f>B53/(B52+B53)*#REF!</f>
        <v>#REF!</v>
      </c>
      <c r="C108" s="54"/>
      <c r="D108" s="54"/>
      <c r="E108" s="54"/>
      <c r="F108" s="54"/>
      <c r="G108" s="54"/>
      <c r="H108" s="54"/>
    </row>
    <row r="109" spans="1:8" ht="15">
      <c r="A109" s="54" t="s">
        <v>249</v>
      </c>
      <c r="B109" s="62" t="e">
        <f>#REF!</f>
        <v>#REF!</v>
      </c>
      <c r="C109" s="54"/>
      <c r="D109" s="54"/>
      <c r="E109" s="54"/>
      <c r="F109" s="54"/>
      <c r="G109" s="54"/>
      <c r="H109" s="54"/>
    </row>
    <row r="110" spans="1:8" ht="15">
      <c r="A110" s="54" t="s">
        <v>250</v>
      </c>
      <c r="B110" s="62" t="e">
        <f>SUM(B107:B109)</f>
        <v>#REF!</v>
      </c>
      <c r="C110" s="54"/>
      <c r="D110" s="54"/>
      <c r="E110" s="54"/>
      <c r="F110" s="54"/>
      <c r="G110" s="54"/>
      <c r="H110" s="54"/>
    </row>
    <row r="111" spans="1:8" ht="15">
      <c r="A111" s="54"/>
      <c r="B111" s="55"/>
      <c r="C111" s="54"/>
      <c r="D111" s="54"/>
      <c r="E111" s="54"/>
      <c r="F111" s="54"/>
      <c r="G111" s="54"/>
      <c r="H111" s="54"/>
    </row>
    <row r="112" spans="1:8" ht="15">
      <c r="A112" s="54" t="s">
        <v>36</v>
      </c>
      <c r="B112" s="55"/>
      <c r="C112" s="54"/>
      <c r="D112" s="54"/>
      <c r="E112" s="54"/>
      <c r="F112" s="54"/>
      <c r="G112" s="54"/>
      <c r="H112" s="54"/>
    </row>
    <row r="113" spans="1:8" ht="15">
      <c r="A113" s="54" t="s">
        <v>295</v>
      </c>
      <c r="B113" s="70" t="e">
        <f>#REF!</f>
        <v>#REF!</v>
      </c>
      <c r="C113" s="77"/>
      <c r="D113" s="54"/>
      <c r="E113" s="54"/>
      <c r="F113" s="54"/>
      <c r="G113" s="54"/>
      <c r="H113" s="54"/>
    </row>
    <row r="114" spans="1:8" ht="15">
      <c r="A114" s="54" t="s">
        <v>296</v>
      </c>
      <c r="B114" s="70" t="e">
        <f>#REF!</f>
        <v>#REF!</v>
      </c>
      <c r="C114" s="54"/>
      <c r="D114" s="54"/>
      <c r="E114" s="54"/>
      <c r="F114" s="54"/>
      <c r="G114" s="54"/>
      <c r="H114" s="54"/>
    </row>
    <row r="115" spans="1:8" ht="15">
      <c r="A115" s="54" t="s">
        <v>251</v>
      </c>
      <c r="B115" s="59" t="e">
        <f>MIN(100%,B113/B114)</f>
        <v>#REF!</v>
      </c>
      <c r="C115" s="54"/>
      <c r="D115" s="54"/>
      <c r="E115" s="54"/>
      <c r="F115" s="54"/>
      <c r="G115" s="54"/>
      <c r="H115" s="54"/>
    </row>
    <row r="116" spans="1:8" ht="15">
      <c r="A116" s="54"/>
      <c r="B116" s="78"/>
      <c r="C116" s="54"/>
      <c r="D116" s="54"/>
      <c r="E116" s="54"/>
      <c r="F116" s="54"/>
      <c r="G116" s="54"/>
      <c r="H116" s="54"/>
    </row>
    <row r="117" spans="1:8" ht="15">
      <c r="A117" s="54"/>
      <c r="B117" s="82"/>
      <c r="C117" s="54"/>
      <c r="D117" s="54"/>
      <c r="E117" s="54"/>
      <c r="F117" s="54"/>
      <c r="G117" s="54"/>
      <c r="H117" s="54"/>
    </row>
    <row r="118" spans="1:8" ht="15">
      <c r="A118" s="54"/>
      <c r="B118" s="82"/>
      <c r="C118" s="54"/>
      <c r="D118" s="54"/>
      <c r="E118" s="54"/>
      <c r="F118" s="54"/>
      <c r="G118" s="54"/>
      <c r="H118" s="54"/>
    </row>
    <row r="119" spans="1:8" ht="15">
      <c r="A119" s="54"/>
      <c r="B119" s="82"/>
      <c r="C119" s="54"/>
      <c r="D119" s="54"/>
      <c r="E119" s="54"/>
      <c r="F119" s="54"/>
      <c r="G119" s="54"/>
      <c r="H119" s="54"/>
    </row>
    <row r="120" spans="1:8" ht="15">
      <c r="A120" s="54"/>
      <c r="B120" s="82"/>
      <c r="C120" s="54"/>
      <c r="D120" s="54"/>
      <c r="E120" s="54"/>
      <c r="F120" s="54"/>
      <c r="G120" s="54"/>
      <c r="H120" s="54"/>
    </row>
    <row r="121" spans="1:8" ht="15">
      <c r="A121" s="54"/>
      <c r="B121" s="82"/>
      <c r="C121" s="54"/>
      <c r="D121" s="54"/>
      <c r="E121" s="54"/>
      <c r="F121" s="54"/>
      <c r="G121" s="54"/>
      <c r="H121" s="54"/>
    </row>
    <row r="122" spans="1:8" ht="15">
      <c r="A122" s="54"/>
      <c r="B122" s="82"/>
      <c r="C122" s="54"/>
      <c r="D122" s="54"/>
      <c r="E122" s="54"/>
      <c r="F122" s="54"/>
      <c r="G122" s="54"/>
      <c r="H122" s="54"/>
    </row>
    <row r="123" spans="1:8" ht="15">
      <c r="A123" s="54"/>
      <c r="B123" s="82"/>
      <c r="C123" s="54"/>
      <c r="D123" s="54"/>
      <c r="E123" s="54"/>
      <c r="F123" s="54"/>
      <c r="G123" s="54"/>
      <c r="H123" s="54"/>
    </row>
    <row r="124" spans="1:8" ht="15">
      <c r="A124" s="54"/>
      <c r="B124" s="82"/>
      <c r="C124" s="54"/>
      <c r="D124" s="54"/>
      <c r="E124" s="54"/>
      <c r="F124" s="54"/>
      <c r="G124" s="54"/>
      <c r="H124" s="54"/>
    </row>
    <row r="125" spans="1:8" ht="15">
      <c r="A125" s="54"/>
      <c r="B125" s="82"/>
      <c r="C125" s="54"/>
      <c r="D125" s="54"/>
      <c r="E125" s="54"/>
      <c r="F125" s="54"/>
      <c r="G125" s="54"/>
      <c r="H125" s="54"/>
    </row>
    <row r="126" spans="1:8" ht="15">
      <c r="A126" s="54"/>
      <c r="B126" s="82"/>
      <c r="C126" s="54"/>
      <c r="D126" s="54"/>
      <c r="E126" s="54"/>
      <c r="F126" s="54"/>
      <c r="G126" s="54"/>
      <c r="H126" s="54"/>
    </row>
    <row r="127" spans="1:8" ht="15">
      <c r="A127" s="54"/>
      <c r="B127" s="82"/>
      <c r="C127" s="54"/>
      <c r="D127" s="54"/>
      <c r="E127" s="54"/>
      <c r="F127" s="54"/>
      <c r="G127" s="54"/>
      <c r="H127" s="54"/>
    </row>
    <row r="128" spans="1:8" ht="15">
      <c r="A128" s="54"/>
      <c r="B128" s="82"/>
      <c r="C128" s="54"/>
      <c r="D128" s="54"/>
      <c r="E128" s="54"/>
      <c r="F128" s="54"/>
      <c r="G128" s="54"/>
      <c r="H128" s="54"/>
    </row>
    <row r="129" spans="1:8" ht="15">
      <c r="A129" s="54"/>
      <c r="B129" s="55"/>
      <c r="C129" s="54"/>
      <c r="D129" s="54"/>
      <c r="E129" s="54"/>
      <c r="F129" s="54"/>
      <c r="G129" s="54"/>
      <c r="H129" s="54"/>
    </row>
    <row r="130" spans="1:8" ht="15">
      <c r="A130" s="54" t="s">
        <v>252</v>
      </c>
      <c r="B130" s="55" t="e">
        <f>IF(#REF!+#REF!+#REF!+#REF!&gt;14.999,"T","F")</f>
        <v>#REF!</v>
      </c>
      <c r="C130" s="54"/>
      <c r="D130" s="54"/>
      <c r="E130" s="54"/>
      <c r="F130" s="54"/>
      <c r="G130" s="54"/>
      <c r="H130" s="54"/>
    </row>
    <row r="131" spans="1:8" ht="15">
      <c r="A131" s="54" t="s">
        <v>297</v>
      </c>
      <c r="B131" s="60" t="e">
        <f>LOOKUP(#REF!+#REF!+#REF!+#REF!,OldOP)</f>
        <v>#REF!</v>
      </c>
      <c r="C131" s="54"/>
      <c r="D131" s="54"/>
      <c r="E131" s="54"/>
      <c r="F131" s="54"/>
      <c r="G131" s="54"/>
      <c r="H131" s="54"/>
    </row>
    <row r="132" spans="1:8" ht="15">
      <c r="A132" s="54" t="s">
        <v>298</v>
      </c>
      <c r="B132" s="60" t="e">
        <f>IF(#REF!="j",LOOKUP(#REF!+#REF!+#REF!+#REF!,OldOP),0)</f>
        <v>#REF!</v>
      </c>
      <c r="C132" s="558" t="s">
        <v>305</v>
      </c>
      <c r="D132" s="558"/>
      <c r="E132" s="558"/>
      <c r="F132" s="54"/>
      <c r="G132" s="54"/>
      <c r="H132" s="54"/>
    </row>
    <row r="133" spans="1:8" ht="15">
      <c r="A133" s="54" t="s">
        <v>299</v>
      </c>
      <c r="B133" s="55" t="e">
        <f>IF(#REF!="j","F","S")</f>
        <v>#REF!</v>
      </c>
      <c r="C133" s="558"/>
      <c r="D133" s="558"/>
      <c r="E133" s="558"/>
      <c r="F133" s="54"/>
      <c r="G133" s="54"/>
      <c r="H133" s="54"/>
    </row>
    <row r="134" spans="1:8" ht="15">
      <c r="A134" s="54" t="s">
        <v>253</v>
      </c>
      <c r="B134" s="55" t="s">
        <v>95</v>
      </c>
      <c r="C134" s="88" t="s">
        <v>12</v>
      </c>
      <c r="D134" s="88" t="s">
        <v>96</v>
      </c>
      <c r="E134" s="88" t="s">
        <v>49</v>
      </c>
      <c r="F134" s="55" t="s">
        <v>14</v>
      </c>
      <c r="G134" s="54"/>
      <c r="H134" s="54"/>
    </row>
    <row r="135" spans="1:8" ht="15">
      <c r="A135" s="54" t="s">
        <v>254</v>
      </c>
      <c r="B135" s="60" t="e">
        <f>#REF!/#REF!/'Update Tables'!$AC$10</f>
        <v>#REF!</v>
      </c>
      <c r="C135" s="93" t="e">
        <f>(B135*'Update Tables'!AC$10)-E135</f>
        <v>#REF!</v>
      </c>
      <c r="D135" s="94">
        <v>0</v>
      </c>
      <c r="E135" s="93" t="e">
        <f>B53/(B52+B53)*B135*'Update Tables'!AC$10</f>
        <v>#REF!</v>
      </c>
      <c r="F135" s="93" t="e">
        <f>SUM(C135:E135)</f>
        <v>#REF!</v>
      </c>
      <c r="G135" s="54"/>
      <c r="H135" s="54"/>
    </row>
    <row r="136" spans="1:8" ht="15">
      <c r="A136" s="54" t="s">
        <v>255</v>
      </c>
      <c r="B136" s="59" t="e">
        <f>IF(#REF!="j",B135,0)</f>
        <v>#REF!</v>
      </c>
      <c r="C136" s="93" t="e">
        <f>(B136*'Update Tables'!AC$10)-E136</f>
        <v>#REF!</v>
      </c>
      <c r="D136" s="94">
        <v>0</v>
      </c>
      <c r="E136" s="93" t="e">
        <f>B53/(B52+B53)*B136*'Update Tables'!AC$10</f>
        <v>#REF!</v>
      </c>
      <c r="F136" s="93" t="e">
        <f>SUM(C136:E136)</f>
        <v>#REF!</v>
      </c>
      <c r="G136" s="54"/>
      <c r="H136" s="54"/>
    </row>
    <row r="137" spans="1:8" ht="15">
      <c r="A137" s="54" t="s">
        <v>97</v>
      </c>
      <c r="C137" s="73" t="e">
        <f>SUM(C135:C136)</f>
        <v>#REF!</v>
      </c>
      <c r="D137" s="54"/>
      <c r="E137" s="73" t="e">
        <f>SUM(E135:E136)</f>
        <v>#REF!</v>
      </c>
      <c r="F137" s="73" t="e">
        <f>SUM(F135:F136)</f>
        <v>#REF!</v>
      </c>
      <c r="G137" s="75"/>
      <c r="H137" s="54"/>
    </row>
    <row r="138" spans="1:8" ht="15">
      <c r="A138" s="54" t="s">
        <v>256</v>
      </c>
      <c r="B138" s="59" t="e">
        <f>(#REF!+#REF!)/40</f>
        <v>#REF!</v>
      </c>
      <c r="C138" s="54"/>
      <c r="D138" s="54"/>
      <c r="E138" s="54"/>
      <c r="F138" s="54"/>
      <c r="G138" s="54"/>
      <c r="H138" s="54"/>
    </row>
    <row r="139" spans="1:8" ht="15">
      <c r="A139" s="85"/>
      <c r="B139" s="95"/>
      <c r="C139" s="54"/>
      <c r="D139" s="54"/>
      <c r="E139" s="54"/>
      <c r="F139" s="54"/>
      <c r="G139" s="54"/>
      <c r="H139" s="54"/>
    </row>
    <row r="140" spans="1:8" ht="15">
      <c r="A140" s="85" t="s">
        <v>103</v>
      </c>
      <c r="B140" s="96" t="e">
        <f>IF(AND(#REF!="n",#REF!="y"),#REF!,0)</f>
        <v>#REF!</v>
      </c>
      <c r="C140" s="54"/>
      <c r="D140" s="54"/>
      <c r="E140" s="54"/>
      <c r="F140" s="54"/>
      <c r="G140" s="54"/>
      <c r="H140" s="54"/>
    </row>
    <row r="141" spans="1:8" ht="15">
      <c r="A141" s="85" t="s">
        <v>104</v>
      </c>
      <c r="B141" s="96" t="e">
        <f>IF(AND(#REF!="y",#REF!="y"),#REF!,0)</f>
        <v>#REF!</v>
      </c>
      <c r="C141" s="54"/>
      <c r="D141" s="54"/>
      <c r="E141" s="54"/>
      <c r="F141" s="54"/>
      <c r="G141" s="54"/>
      <c r="H141" s="54"/>
    </row>
    <row r="142" spans="1:8" ht="15">
      <c r="A142" s="85" t="s">
        <v>102</v>
      </c>
      <c r="B142" s="97" t="e">
        <f>#REF!</f>
        <v>#REF!</v>
      </c>
      <c r="C142" s="54"/>
      <c r="D142" s="54"/>
      <c r="E142" s="54"/>
      <c r="F142" s="54"/>
      <c r="G142" s="54"/>
      <c r="H142" s="54"/>
    </row>
    <row r="143" spans="1:8" ht="15">
      <c r="A143" s="85"/>
      <c r="B143" s="82"/>
      <c r="C143" s="54"/>
      <c r="D143" s="54"/>
      <c r="E143" s="54"/>
      <c r="F143" s="54"/>
      <c r="G143" s="54"/>
      <c r="H143" s="54"/>
    </row>
    <row r="144" spans="1:8" ht="15">
      <c r="A144" s="54"/>
      <c r="B144" s="91"/>
      <c r="C144" s="54"/>
      <c r="D144" s="54"/>
      <c r="E144" s="54"/>
      <c r="F144" s="54"/>
      <c r="G144" s="54"/>
      <c r="H144" s="54"/>
    </row>
    <row r="145" spans="1:8" ht="15">
      <c r="A145" s="54" t="s">
        <v>86</v>
      </c>
      <c r="B145" s="62" t="e">
        <f>#REF!*#REF!</f>
        <v>#REF!</v>
      </c>
      <c r="C145" s="54"/>
      <c r="D145" s="54"/>
      <c r="E145" s="54"/>
      <c r="F145" s="54"/>
      <c r="G145" s="54"/>
      <c r="H145" s="54"/>
    </row>
    <row r="146" spans="1:8" ht="15">
      <c r="A146" s="54" t="s">
        <v>87</v>
      </c>
      <c r="B146" s="62" t="e">
        <f>#REF!*#REF!</f>
        <v>#REF!</v>
      </c>
      <c r="C146" s="54"/>
      <c r="D146" s="54"/>
      <c r="E146" s="54"/>
      <c r="F146" s="54"/>
      <c r="G146" s="54"/>
      <c r="H146" s="54"/>
    </row>
    <row r="147" spans="1:8" ht="15">
      <c r="A147" s="54" t="s">
        <v>102</v>
      </c>
      <c r="B147"/>
      <c r="C147" s="79"/>
      <c r="D147" s="54"/>
      <c r="E147" s="54"/>
      <c r="F147" s="54"/>
      <c r="G147" s="54"/>
      <c r="H147" s="54"/>
    </row>
    <row r="148" spans="1:8" ht="15">
      <c r="A148" s="54"/>
      <c r="B148" s="80"/>
      <c r="C148" s="54"/>
      <c r="D148" s="54"/>
      <c r="E148" s="54"/>
      <c r="F148" s="54"/>
      <c r="G148" s="54"/>
      <c r="H148" s="54"/>
    </row>
    <row r="149" spans="1:8" ht="15">
      <c r="A149" s="54"/>
      <c r="B149" s="55"/>
      <c r="C149" s="54"/>
      <c r="D149" s="54"/>
      <c r="E149" s="54"/>
      <c r="F149" s="54"/>
      <c r="G149" s="54"/>
      <c r="H149" s="54"/>
    </row>
    <row r="150" spans="3:8" ht="15">
      <c r="C150" s="54"/>
      <c r="D150" s="54"/>
      <c r="E150" s="54"/>
      <c r="F150" s="54"/>
      <c r="G150" s="54"/>
      <c r="H150" s="54"/>
    </row>
    <row r="151" spans="1:8" ht="15">
      <c r="A151" s="54" t="s">
        <v>257</v>
      </c>
      <c r="B151" s="58" t="e">
        <f>#REF!</f>
        <v>#REF!</v>
      </c>
      <c r="C151" s="54"/>
      <c r="D151" s="81" t="e">
        <f>IF(B151&gt;0,100%,"NA")</f>
        <v>#REF!</v>
      </c>
      <c r="E151" s="54"/>
      <c r="F151" s="54"/>
      <c r="G151" s="54"/>
      <c r="H151" s="54"/>
    </row>
    <row r="152" spans="1:8" ht="15">
      <c r="A152" s="54" t="s">
        <v>6</v>
      </c>
      <c r="B152"/>
      <c r="F152" s="54"/>
      <c r="G152" s="54"/>
      <c r="H152" s="54"/>
    </row>
    <row r="153" spans="1:8" ht="15">
      <c r="A153" s="54" t="s">
        <v>258</v>
      </c>
      <c r="B153" s="55" t="e">
        <f>#REF!</f>
        <v>#REF!</v>
      </c>
      <c r="C153" s="54"/>
      <c r="D153" s="54"/>
      <c r="E153" s="54"/>
      <c r="F153" s="54"/>
      <c r="G153" s="54"/>
      <c r="H153" s="54"/>
    </row>
    <row r="154" spans="1:8" ht="15">
      <c r="A154" s="54" t="s">
        <v>259</v>
      </c>
      <c r="B154" s="55" t="e">
        <f>#REF!</f>
        <v>#REF!</v>
      </c>
      <c r="C154" s="54"/>
      <c r="D154" s="54"/>
      <c r="E154" s="54"/>
      <c r="F154" s="54"/>
      <c r="G154" s="54"/>
      <c r="H154" s="54"/>
    </row>
    <row r="155" spans="1:8" ht="15">
      <c r="A155" s="54" t="s">
        <v>260</v>
      </c>
      <c r="B155" s="68" t="e">
        <f>#REF!</f>
        <v>#REF!</v>
      </c>
      <c r="C155" s="54"/>
      <c r="D155" s="54"/>
      <c r="E155" s="54"/>
      <c r="F155" s="54"/>
      <c r="G155" s="54"/>
      <c r="H155" s="54"/>
    </row>
    <row r="156" spans="1:8" ht="15">
      <c r="A156" s="54" t="s">
        <v>261</v>
      </c>
      <c r="B156" s="68" t="e">
        <f>#REF!</f>
        <v>#REF!</v>
      </c>
      <c r="C156" s="54"/>
      <c r="D156" s="54"/>
      <c r="E156" s="54"/>
      <c r="F156" s="54"/>
      <c r="G156" s="54"/>
      <c r="H156" s="54"/>
    </row>
    <row r="157" spans="1:12" ht="15" thickBot="1">
      <c r="A157" s="85" t="s">
        <v>262</v>
      </c>
      <c r="B157" s="82"/>
      <c r="C157" s="83"/>
      <c r="D157" s="83"/>
      <c r="E157" s="83"/>
      <c r="F157" s="83"/>
      <c r="G157" s="83"/>
      <c r="H157" s="83"/>
      <c r="I157" s="48"/>
      <c r="J157" s="48"/>
      <c r="K157" s="48"/>
      <c r="L157" s="48"/>
    </row>
    <row r="158" spans="1:12" ht="15">
      <c r="A158" s="549" t="e">
        <f>#REF!</f>
        <v>#REF!</v>
      </c>
      <c r="B158" s="550"/>
      <c r="C158" s="550"/>
      <c r="D158" s="550"/>
      <c r="E158" s="551"/>
      <c r="F158" s="84"/>
      <c r="G158" s="83"/>
      <c r="H158" s="83"/>
      <c r="I158" s="48"/>
      <c r="J158" s="48"/>
      <c r="K158" s="48"/>
      <c r="L158" s="48"/>
    </row>
    <row r="159" spans="1:12" ht="15">
      <c r="A159" s="552"/>
      <c r="B159" s="553"/>
      <c r="C159" s="553"/>
      <c r="D159" s="553"/>
      <c r="E159" s="554"/>
      <c r="F159" s="84"/>
      <c r="G159" s="83"/>
      <c r="H159" s="83"/>
      <c r="I159" s="48"/>
      <c r="J159" s="48"/>
      <c r="K159" s="48"/>
      <c r="L159" s="48"/>
    </row>
    <row r="160" spans="1:12" ht="15">
      <c r="A160" s="552"/>
      <c r="B160" s="553"/>
      <c r="C160" s="553"/>
      <c r="D160" s="553"/>
      <c r="E160" s="554"/>
      <c r="F160" s="84"/>
      <c r="G160" s="83"/>
      <c r="H160" s="83"/>
      <c r="I160" s="48"/>
      <c r="J160" s="48"/>
      <c r="K160" s="48"/>
      <c r="L160" s="48"/>
    </row>
    <row r="161" spans="1:12" ht="15">
      <c r="A161" s="552"/>
      <c r="B161" s="553"/>
      <c r="C161" s="553"/>
      <c r="D161" s="553"/>
      <c r="E161" s="554"/>
      <c r="F161" s="84"/>
      <c r="G161" s="83"/>
      <c r="H161" s="83"/>
      <c r="I161" s="48"/>
      <c r="J161" s="48"/>
      <c r="K161" s="48"/>
      <c r="L161" s="48"/>
    </row>
    <row r="162" spans="1:12" ht="15">
      <c r="A162" s="552"/>
      <c r="B162" s="553"/>
      <c r="C162" s="553"/>
      <c r="D162" s="553"/>
      <c r="E162" s="554"/>
      <c r="F162" s="84"/>
      <c r="G162" s="83"/>
      <c r="H162" s="83"/>
      <c r="I162" s="48"/>
      <c r="J162" s="48"/>
      <c r="K162" s="48"/>
      <c r="L162" s="48"/>
    </row>
    <row r="163" spans="1:12" ht="15" thickBot="1">
      <c r="A163" s="555"/>
      <c r="B163" s="556"/>
      <c r="C163" s="556"/>
      <c r="D163" s="556"/>
      <c r="E163" s="557"/>
      <c r="F163" s="84"/>
      <c r="G163" s="83"/>
      <c r="H163" s="83"/>
      <c r="I163" s="48"/>
      <c r="J163" s="48"/>
      <c r="K163" s="48"/>
      <c r="L163" s="48"/>
    </row>
    <row r="164" spans="1:12" ht="15">
      <c r="A164" s="85"/>
      <c r="B164" s="83"/>
      <c r="C164" s="83"/>
      <c r="D164" s="83"/>
      <c r="E164" s="83"/>
      <c r="F164" s="83"/>
      <c r="G164" s="83"/>
      <c r="H164" s="83"/>
      <c r="I164" s="48"/>
      <c r="J164" s="48"/>
      <c r="K164" s="48"/>
      <c r="L164" s="48"/>
    </row>
    <row r="165" spans="1:8" ht="15">
      <c r="A165" s="54"/>
      <c r="B165" s="55"/>
      <c r="C165" s="54"/>
      <c r="D165" s="54"/>
      <c r="E165" s="54"/>
      <c r="F165" s="54"/>
      <c r="G165" s="54"/>
      <c r="H165" s="54"/>
    </row>
    <row r="166" spans="1:8" ht="15">
      <c r="A166" s="54" t="s">
        <v>266</v>
      </c>
      <c r="B166" s="55"/>
      <c r="C166" s="54"/>
      <c r="D166" s="54"/>
      <c r="E166" s="54"/>
      <c r="F166" s="54"/>
      <c r="G166" s="54"/>
      <c r="H166" s="54"/>
    </row>
    <row r="167" spans="1:9" ht="15">
      <c r="A167" s="86" t="s">
        <v>269</v>
      </c>
      <c r="B167" s="55"/>
      <c r="C167" s="54"/>
      <c r="D167" s="54"/>
      <c r="E167" s="54"/>
      <c r="F167" s="54"/>
      <c r="G167" s="54"/>
      <c r="H167" s="54"/>
      <c r="I167" s="45"/>
    </row>
    <row r="168" spans="1:9" ht="15">
      <c r="A168" s="54" t="e">
        <f>#REF!</f>
        <v>#REF!</v>
      </c>
      <c r="B168" s="54" t="e">
        <f>#REF!</f>
        <v>#REF!</v>
      </c>
      <c r="C168" s="54"/>
      <c r="D168" s="54"/>
      <c r="E168" s="54"/>
      <c r="F168" s="54"/>
      <c r="G168" s="54"/>
      <c r="H168" s="54"/>
      <c r="I168" s="45"/>
    </row>
    <row r="169" spans="1:9" ht="15">
      <c r="A169" s="54" t="e">
        <f>#REF!</f>
        <v>#REF!</v>
      </c>
      <c r="B169" s="54" t="e">
        <f>#REF!</f>
        <v>#REF!</v>
      </c>
      <c r="C169" s="54"/>
      <c r="D169" s="54"/>
      <c r="E169" s="54"/>
      <c r="F169" s="54"/>
      <c r="G169" s="54"/>
      <c r="H169" s="54"/>
      <c r="I169" s="45"/>
    </row>
    <row r="170" spans="1:8" ht="15">
      <c r="A170" s="54" t="e">
        <f>#REF!</f>
        <v>#REF!</v>
      </c>
      <c r="B170" s="55" t="e">
        <f>#REF!</f>
        <v>#REF!</v>
      </c>
      <c r="C170" s="54"/>
      <c r="D170" s="54"/>
      <c r="E170" s="54"/>
      <c r="F170" s="54"/>
      <c r="G170" s="54"/>
      <c r="H170" s="54"/>
    </row>
    <row r="171" spans="1:8" ht="15">
      <c r="A171" s="54" t="e">
        <f>#REF!</f>
        <v>#REF!</v>
      </c>
      <c r="B171" s="55" t="e">
        <f>#REF!</f>
        <v>#REF!</v>
      </c>
      <c r="C171" s="54"/>
      <c r="D171" s="54"/>
      <c r="E171" s="54"/>
      <c r="F171" s="54"/>
      <c r="G171" s="54"/>
      <c r="H171" s="54"/>
    </row>
    <row r="172" spans="1:8" ht="15">
      <c r="A172" s="54"/>
      <c r="B172" s="55" t="e">
        <f>#REF!</f>
        <v>#REF!</v>
      </c>
      <c r="C172" s="54"/>
      <c r="D172" s="54"/>
      <c r="E172" s="54"/>
      <c r="F172" s="54"/>
      <c r="G172" s="54"/>
      <c r="H172" s="54"/>
    </row>
    <row r="173" spans="1:8" ht="15">
      <c r="A173" s="54"/>
      <c r="B173" s="55" t="e">
        <f>#REF!</f>
        <v>#REF!</v>
      </c>
      <c r="C173" s="54"/>
      <c r="D173" s="54"/>
      <c r="E173" s="54"/>
      <c r="F173" s="54"/>
      <c r="G173" s="54"/>
      <c r="H173" s="54"/>
    </row>
    <row r="174" spans="1:8" ht="15">
      <c r="A174" s="54"/>
      <c r="B174" s="55" t="e">
        <f>#REF!</f>
        <v>#REF!</v>
      </c>
      <c r="C174" s="54"/>
      <c r="D174" s="54"/>
      <c r="E174" s="54"/>
      <c r="F174" s="54"/>
      <c r="G174" s="54"/>
      <c r="H174" s="54"/>
    </row>
    <row r="175" spans="1:8" ht="15">
      <c r="A175" s="54" t="e">
        <f>#REF!</f>
        <v>#REF!</v>
      </c>
      <c r="B175" s="55" t="e">
        <f>#REF!</f>
        <v>#REF!</v>
      </c>
      <c r="C175" s="54"/>
      <c r="D175" s="54"/>
      <c r="E175" s="54"/>
      <c r="F175" s="54"/>
      <c r="G175" s="54"/>
      <c r="H175" s="54"/>
    </row>
    <row r="176" spans="1:8" ht="15">
      <c r="A176" s="54"/>
      <c r="B176" s="55"/>
      <c r="C176" s="54"/>
      <c r="D176" s="54"/>
      <c r="E176" s="54"/>
      <c r="F176" s="54"/>
      <c r="G176" s="54"/>
      <c r="H176" s="54"/>
    </row>
    <row r="177" spans="1:8" ht="15">
      <c r="A177" s="86" t="s">
        <v>270</v>
      </c>
      <c r="B177" s="55"/>
      <c r="C177" s="54"/>
      <c r="D177" s="54"/>
      <c r="E177" s="54"/>
      <c r="F177" s="54"/>
      <c r="G177" s="54"/>
      <c r="H177" s="54"/>
    </row>
    <row r="178" spans="1:8" ht="15">
      <c r="A178" s="54" t="s">
        <v>276</v>
      </c>
      <c r="B178" s="55" t="e">
        <f>IF(#REF!="x","True","False")</f>
        <v>#REF!</v>
      </c>
      <c r="C178" s="54"/>
      <c r="D178" s="54"/>
      <c r="E178" s="54"/>
      <c r="F178" s="54"/>
      <c r="G178" s="54"/>
      <c r="H178" s="54"/>
    </row>
    <row r="179" spans="1:8" ht="15">
      <c r="A179" s="54" t="s">
        <v>274</v>
      </c>
      <c r="B179" s="55" t="e">
        <f>#REF!</f>
        <v>#REF!</v>
      </c>
      <c r="C179" s="54"/>
      <c r="D179" s="54"/>
      <c r="E179" s="54"/>
      <c r="F179" s="54"/>
      <c r="G179" s="54"/>
      <c r="H179" s="54"/>
    </row>
    <row r="180" spans="1:8" ht="15">
      <c r="A180" s="54" t="s">
        <v>275</v>
      </c>
      <c r="B180" s="55" t="e">
        <f>#REF!</f>
        <v>#REF!</v>
      </c>
      <c r="C180" s="54"/>
      <c r="D180" s="54"/>
      <c r="E180" s="54"/>
      <c r="F180" s="54"/>
      <c r="G180" s="54"/>
      <c r="H180" s="54"/>
    </row>
    <row r="181" spans="1:8" ht="15">
      <c r="A181" s="54" t="s">
        <v>294</v>
      </c>
      <c r="B181" s="87" t="e">
        <f>#REF!</f>
        <v>#REF!</v>
      </c>
      <c r="C181" s="54"/>
      <c r="D181" s="54"/>
      <c r="E181" s="54"/>
      <c r="F181" s="54"/>
      <c r="G181" s="54"/>
      <c r="H181" s="54"/>
    </row>
    <row r="182" spans="1:8" ht="15">
      <c r="A182" s="54"/>
      <c r="B182" s="55"/>
      <c r="C182" s="54"/>
      <c r="D182" s="54"/>
      <c r="E182" s="54"/>
      <c r="F182" s="54"/>
      <c r="G182" s="54"/>
      <c r="H182" s="54"/>
    </row>
    <row r="183" spans="1:8" ht="15">
      <c r="A183" s="86" t="s">
        <v>0</v>
      </c>
      <c r="B183" s="55" t="e">
        <f>IF(#REF!="Qualified","True","False")</f>
        <v>#REF!</v>
      </c>
      <c r="C183" s="54"/>
      <c r="D183" s="54"/>
      <c r="E183" s="54"/>
      <c r="F183" s="54"/>
      <c r="G183" s="54"/>
      <c r="H183" s="54"/>
    </row>
    <row r="184" spans="1:8" ht="15">
      <c r="A184" s="54"/>
      <c r="B184" s="55"/>
      <c r="C184" s="54"/>
      <c r="D184" s="54"/>
      <c r="E184" s="54"/>
      <c r="F184" s="54"/>
      <c r="G184" s="54"/>
      <c r="H184" s="54"/>
    </row>
    <row r="185" spans="1:8" ht="15">
      <c r="A185" s="54"/>
      <c r="B185" s="55"/>
      <c r="C185" s="54"/>
      <c r="D185" s="54"/>
      <c r="E185" s="54"/>
      <c r="F185" s="54"/>
      <c r="G185" s="54"/>
      <c r="H185" s="54"/>
    </row>
    <row r="186" spans="1:8" ht="15">
      <c r="A186" s="54"/>
      <c r="B186" s="55"/>
      <c r="C186" s="54"/>
      <c r="D186" s="54"/>
      <c r="E186" s="54"/>
      <c r="F186" s="54"/>
      <c r="G186" s="54"/>
      <c r="H186" s="54"/>
    </row>
    <row r="187" spans="1:8" ht="15">
      <c r="A187" s="54"/>
      <c r="B187" s="55"/>
      <c r="C187" s="54"/>
      <c r="D187" s="54"/>
      <c r="E187" s="54"/>
      <c r="F187" s="54"/>
      <c r="G187" s="54"/>
      <c r="H187" s="54"/>
    </row>
    <row r="188" spans="1:8" ht="15">
      <c r="A188" s="54"/>
      <c r="B188" s="55"/>
      <c r="C188" s="54"/>
      <c r="D188" s="54"/>
      <c r="E188" s="54"/>
      <c r="F188" s="54"/>
      <c r="G188" s="54"/>
      <c r="H188" s="54"/>
    </row>
    <row r="189" spans="1:8" ht="15">
      <c r="A189" s="54"/>
      <c r="B189" s="55"/>
      <c r="C189" s="54"/>
      <c r="D189" s="54"/>
      <c r="E189" s="54"/>
      <c r="F189" s="54"/>
      <c r="G189" s="54"/>
      <c r="H189" s="54"/>
    </row>
    <row r="190" spans="1:8" ht="15">
      <c r="A190" s="54"/>
      <c r="B190" s="55"/>
      <c r="C190" s="54"/>
      <c r="D190" s="54"/>
      <c r="E190" s="54"/>
      <c r="F190" s="54"/>
      <c r="G190" s="54"/>
      <c r="H190" s="54"/>
    </row>
    <row r="191" spans="1:8" ht="15">
      <c r="A191" s="54"/>
      <c r="B191" s="55"/>
      <c r="C191" s="54"/>
      <c r="D191" s="54"/>
      <c r="E191" s="54"/>
      <c r="F191" s="54"/>
      <c r="G191" s="54"/>
      <c r="H191" s="54"/>
    </row>
    <row r="192" spans="1:8" ht="15">
      <c r="A192" s="54"/>
      <c r="B192" s="55"/>
      <c r="C192" s="54"/>
      <c r="D192" s="54"/>
      <c r="E192" s="54"/>
      <c r="F192" s="54"/>
      <c r="G192" s="54"/>
      <c r="H192" s="54"/>
    </row>
    <row r="193" spans="1:8" ht="15">
      <c r="A193" s="54"/>
      <c r="B193" s="55"/>
      <c r="C193" s="54"/>
      <c r="D193" s="54"/>
      <c r="E193" s="54"/>
      <c r="F193" s="54"/>
      <c r="G193" s="54"/>
      <c r="H193" s="54"/>
    </row>
    <row r="194" spans="1:8" ht="15">
      <c r="A194" s="54"/>
      <c r="B194" s="55"/>
      <c r="C194" s="54"/>
      <c r="D194" s="54"/>
      <c r="E194" s="54"/>
      <c r="F194" s="54"/>
      <c r="G194" s="54"/>
      <c r="H194" s="54"/>
    </row>
    <row r="195" spans="1:8" ht="15">
      <c r="A195" s="54"/>
      <c r="B195" s="55"/>
      <c r="C195" s="54"/>
      <c r="D195" s="54"/>
      <c r="E195" s="54"/>
      <c r="F195" s="54"/>
      <c r="G195" s="54"/>
      <c r="H195" s="54"/>
    </row>
    <row r="196" spans="1:8" ht="15">
      <c r="A196" s="54"/>
      <c r="B196" s="55"/>
      <c r="C196" s="54"/>
      <c r="D196" s="54"/>
      <c r="E196" s="54"/>
      <c r="F196" s="54"/>
      <c r="G196" s="54"/>
      <c r="H196" s="54"/>
    </row>
    <row r="197" spans="1:8" ht="15">
      <c r="A197" s="54"/>
      <c r="B197" s="55"/>
      <c r="C197" s="54"/>
      <c r="D197" s="54"/>
      <c r="E197" s="54"/>
      <c r="F197" s="54"/>
      <c r="G197" s="54"/>
      <c r="H197" s="54"/>
    </row>
    <row r="198" spans="1:8" ht="15">
      <c r="A198" s="54"/>
      <c r="B198" s="55"/>
      <c r="C198" s="54"/>
      <c r="D198" s="54"/>
      <c r="E198" s="54"/>
      <c r="F198" s="54"/>
      <c r="G198" s="54"/>
      <c r="H198" s="54"/>
    </row>
    <row r="199" spans="1:8" ht="15">
      <c r="A199" s="54"/>
      <c r="B199" s="55"/>
      <c r="C199" s="54"/>
      <c r="D199" s="54"/>
      <c r="E199" s="54"/>
      <c r="F199" s="54"/>
      <c r="G199" s="54"/>
      <c r="H199" s="54"/>
    </row>
    <row r="200" spans="1:8" ht="15">
      <c r="A200" s="54"/>
      <c r="B200" s="55"/>
      <c r="C200" s="54"/>
      <c r="D200" s="54"/>
      <c r="E200" s="54"/>
      <c r="F200" s="54"/>
      <c r="G200" s="54"/>
      <c r="H200" s="54"/>
    </row>
    <row r="201" spans="1:8" ht="15">
      <c r="A201" s="54"/>
      <c r="B201" s="55"/>
      <c r="C201" s="54"/>
      <c r="D201" s="54"/>
      <c r="E201" s="54"/>
      <c r="F201" s="54"/>
      <c r="G201" s="54"/>
      <c r="H201" s="54"/>
    </row>
    <row r="202" spans="1:8" ht="15">
      <c r="A202" s="54"/>
      <c r="B202" s="55"/>
      <c r="C202" s="54"/>
      <c r="D202" s="54"/>
      <c r="E202" s="54"/>
      <c r="F202" s="54"/>
      <c r="G202" s="54"/>
      <c r="H202" s="54"/>
    </row>
    <row r="203" spans="1:8" ht="15">
      <c r="A203" s="54"/>
      <c r="B203" s="55"/>
      <c r="C203" s="54"/>
      <c r="D203" s="54"/>
      <c r="E203" s="54"/>
      <c r="F203" s="54"/>
      <c r="G203" s="54"/>
      <c r="H203" s="54"/>
    </row>
    <row r="204" spans="1:8" ht="15">
      <c r="A204" s="54"/>
      <c r="B204" s="55"/>
      <c r="C204" s="54"/>
      <c r="D204" s="54"/>
      <c r="E204" s="54"/>
      <c r="F204" s="54"/>
      <c r="G204" s="54"/>
      <c r="H204" s="54"/>
    </row>
    <row r="205" spans="1:8" ht="15">
      <c r="A205" s="54"/>
      <c r="B205" s="55"/>
      <c r="C205" s="54"/>
      <c r="D205" s="54"/>
      <c r="E205" s="54"/>
      <c r="F205" s="54"/>
      <c r="G205" s="54"/>
      <c r="H205" s="54"/>
    </row>
    <row r="206" spans="1:8" ht="15">
      <c r="A206" s="54"/>
      <c r="B206" s="55"/>
      <c r="C206" s="54"/>
      <c r="D206" s="54"/>
      <c r="E206" s="54"/>
      <c r="F206" s="54"/>
      <c r="G206" s="54"/>
      <c r="H206" s="54"/>
    </row>
    <row r="207" spans="1:8" ht="15">
      <c r="A207" s="54"/>
      <c r="B207" s="55"/>
      <c r="C207" s="54"/>
      <c r="D207" s="54"/>
      <c r="E207" s="54"/>
      <c r="F207" s="54"/>
      <c r="G207" s="54"/>
      <c r="H207" s="54"/>
    </row>
    <row r="208" spans="1:8" ht="15">
      <c r="A208" s="54"/>
      <c r="B208" s="55"/>
      <c r="C208" s="54"/>
      <c r="D208" s="54"/>
      <c r="E208" s="54"/>
      <c r="F208" s="54"/>
      <c r="G208" s="54"/>
      <c r="H208" s="54"/>
    </row>
    <row r="209" spans="1:8" ht="15">
      <c r="A209" s="54"/>
      <c r="B209" s="55"/>
      <c r="C209" s="54"/>
      <c r="D209" s="54"/>
      <c r="E209" s="54"/>
      <c r="F209" s="54"/>
      <c r="G209" s="54"/>
      <c r="H209" s="54"/>
    </row>
    <row r="210" spans="1:8" ht="15">
      <c r="A210" s="54"/>
      <c r="B210" s="55"/>
      <c r="C210" s="54"/>
      <c r="D210" s="54"/>
      <c r="E210" s="54"/>
      <c r="F210" s="54"/>
      <c r="G210" s="54"/>
      <c r="H210" s="54"/>
    </row>
    <row r="211" spans="1:8" ht="15">
      <c r="A211" s="54"/>
      <c r="B211" s="55"/>
      <c r="C211" s="54"/>
      <c r="D211" s="54"/>
      <c r="E211" s="54"/>
      <c r="F211" s="54"/>
      <c r="G211" s="54"/>
      <c r="H211" s="54"/>
    </row>
    <row r="212" spans="1:8" ht="15">
      <c r="A212" s="54"/>
      <c r="B212" s="55"/>
      <c r="C212" s="54"/>
      <c r="D212" s="54"/>
      <c r="E212" s="54"/>
      <c r="F212" s="54"/>
      <c r="G212" s="54"/>
      <c r="H212" s="54"/>
    </row>
    <row r="213" spans="1:8" ht="15">
      <c r="A213" s="54"/>
      <c r="B213" s="55"/>
      <c r="C213" s="54"/>
      <c r="D213" s="54"/>
      <c r="E213" s="54"/>
      <c r="F213" s="54"/>
      <c r="G213" s="54"/>
      <c r="H213" s="54"/>
    </row>
    <row r="214" spans="1:8" ht="15">
      <c r="A214" s="54"/>
      <c r="B214" s="55"/>
      <c r="C214" s="54"/>
      <c r="D214" s="54"/>
      <c r="E214" s="54"/>
      <c r="F214" s="54"/>
      <c r="G214" s="54"/>
      <c r="H214" s="54"/>
    </row>
    <row r="215" spans="1:8" ht="15">
      <c r="A215" s="54"/>
      <c r="B215" s="55"/>
      <c r="C215" s="54"/>
      <c r="D215" s="54"/>
      <c r="E215" s="54"/>
      <c r="F215" s="54"/>
      <c r="G215" s="54"/>
      <c r="H215" s="54"/>
    </row>
    <row r="216" spans="1:8" ht="15">
      <c r="A216" s="54"/>
      <c r="B216" s="55"/>
      <c r="C216" s="54"/>
      <c r="D216" s="54"/>
      <c r="E216" s="54"/>
      <c r="F216" s="54"/>
      <c r="G216" s="54"/>
      <c r="H216" s="54"/>
    </row>
    <row r="217" spans="1:8" ht="15">
      <c r="A217" s="54"/>
      <c r="B217" s="55"/>
      <c r="C217" s="54"/>
      <c r="D217" s="54"/>
      <c r="E217" s="54"/>
      <c r="F217" s="54"/>
      <c r="G217" s="54"/>
      <c r="H217" s="54"/>
    </row>
    <row r="218" spans="1:8" ht="15">
      <c r="A218" s="54"/>
      <c r="B218" s="55"/>
      <c r="C218" s="54"/>
      <c r="D218" s="54"/>
      <c r="E218" s="54"/>
      <c r="F218" s="54"/>
      <c r="G218" s="54"/>
      <c r="H218" s="54"/>
    </row>
    <row r="219" spans="1:8" ht="15">
      <c r="A219" s="54"/>
      <c r="B219" s="55"/>
      <c r="C219" s="54"/>
      <c r="D219" s="54"/>
      <c r="E219" s="54"/>
      <c r="F219" s="54"/>
      <c r="G219" s="54"/>
      <c r="H219" s="54"/>
    </row>
    <row r="220" spans="1:8" ht="15">
      <c r="A220" s="54"/>
      <c r="B220" s="55"/>
      <c r="C220" s="54"/>
      <c r="D220" s="54"/>
      <c r="E220" s="54"/>
      <c r="F220" s="54"/>
      <c r="G220" s="54"/>
      <c r="H220" s="54"/>
    </row>
    <row r="221" spans="1:8" ht="15">
      <c r="A221" s="54"/>
      <c r="B221" s="55"/>
      <c r="C221" s="54"/>
      <c r="D221" s="54"/>
      <c r="E221" s="54"/>
      <c r="F221" s="54"/>
      <c r="G221" s="54"/>
      <c r="H221" s="54"/>
    </row>
    <row r="222" spans="1:8" ht="15">
      <c r="A222" s="54"/>
      <c r="B222" s="55"/>
      <c r="C222" s="54"/>
      <c r="D222" s="54"/>
      <c r="E222" s="54"/>
      <c r="F222" s="54"/>
      <c r="G222" s="54"/>
      <c r="H222" s="54"/>
    </row>
    <row r="223" spans="1:8" ht="15">
      <c r="A223" s="54"/>
      <c r="B223" s="55"/>
      <c r="C223" s="54"/>
      <c r="D223" s="54"/>
      <c r="E223" s="54"/>
      <c r="F223" s="54"/>
      <c r="G223" s="54"/>
      <c r="H223" s="54"/>
    </row>
    <row r="224" spans="1:8" ht="15">
      <c r="A224" s="54"/>
      <c r="B224" s="55"/>
      <c r="C224" s="54"/>
      <c r="D224" s="54"/>
      <c r="E224" s="54"/>
      <c r="F224" s="54"/>
      <c r="G224" s="54"/>
      <c r="H224" s="54"/>
    </row>
    <row r="225" spans="1:8" ht="15">
      <c r="A225" s="54"/>
      <c r="B225" s="55"/>
      <c r="C225" s="54"/>
      <c r="D225" s="54"/>
      <c r="E225" s="54"/>
      <c r="F225" s="54"/>
      <c r="G225" s="54"/>
      <c r="H225" s="54"/>
    </row>
    <row r="226" spans="1:8" ht="15">
      <c r="A226" s="54"/>
      <c r="B226" s="55"/>
      <c r="C226" s="54"/>
      <c r="D226" s="54"/>
      <c r="E226" s="54"/>
      <c r="F226" s="54"/>
      <c r="G226" s="54"/>
      <c r="H226" s="54"/>
    </row>
    <row r="227" spans="1:8" ht="15">
      <c r="A227" s="54"/>
      <c r="B227" s="55"/>
      <c r="C227" s="54"/>
      <c r="D227" s="54"/>
      <c r="E227" s="54"/>
      <c r="F227" s="54"/>
      <c r="G227" s="54"/>
      <c r="H227" s="54"/>
    </row>
    <row r="228" spans="1:8" ht="15">
      <c r="A228" s="54"/>
      <c r="B228" s="55"/>
      <c r="C228" s="54"/>
      <c r="D228" s="54"/>
      <c r="E228" s="54"/>
      <c r="F228" s="54"/>
      <c r="G228" s="54"/>
      <c r="H228" s="54"/>
    </row>
    <row r="229" spans="1:8" ht="15">
      <c r="A229" s="54"/>
      <c r="B229" s="55"/>
      <c r="C229" s="54"/>
      <c r="D229" s="54"/>
      <c r="E229" s="54"/>
      <c r="F229" s="54"/>
      <c r="G229" s="54"/>
      <c r="H229" s="54"/>
    </row>
    <row r="230" spans="1:8" ht="15">
      <c r="A230" s="54"/>
      <c r="B230" s="55"/>
      <c r="C230" s="54"/>
      <c r="D230" s="54"/>
      <c r="E230" s="54"/>
      <c r="F230" s="54"/>
      <c r="G230" s="54"/>
      <c r="H230" s="54"/>
    </row>
    <row r="231" spans="1:8" ht="15">
      <c r="A231" s="54"/>
      <c r="B231" s="55"/>
      <c r="C231" s="54"/>
      <c r="D231" s="54"/>
      <c r="E231" s="54"/>
      <c r="F231" s="54"/>
      <c r="G231" s="54"/>
      <c r="H231" s="54"/>
    </row>
    <row r="232" spans="1:8" ht="15">
      <c r="A232" s="54"/>
      <c r="B232" s="55"/>
      <c r="C232" s="54"/>
      <c r="D232" s="54"/>
      <c r="E232" s="54"/>
      <c r="F232" s="54"/>
      <c r="G232" s="54"/>
      <c r="H232" s="54"/>
    </row>
    <row r="233" spans="1:8" ht="15">
      <c r="A233" s="54"/>
      <c r="B233" s="55"/>
      <c r="C233" s="54"/>
      <c r="D233" s="54"/>
      <c r="E233" s="54"/>
      <c r="F233" s="54"/>
      <c r="G233" s="54"/>
      <c r="H233" s="54"/>
    </row>
  </sheetData>
  <sheetProtection password="CFA3" sheet="1" objects="1" selectLockedCells="1"/>
  <mergeCells count="4">
    <mergeCell ref="H15:H33"/>
    <mergeCell ref="D19:E20"/>
    <mergeCell ref="A158:E163"/>
    <mergeCell ref="C132:E133"/>
  </mergeCells>
  <printOptions headings="1"/>
  <pageMargins left="0.5" right="0.5" top="1" bottom="1" header="0.5" footer="0.5"/>
  <pageSetup fitToHeight="4" fitToWidth="1" horizontalDpi="600" verticalDpi="600" orientation="portrait" scale="79" r:id="rId3"/>
  <legacyDrawing r:id="rId2"/>
</worksheet>
</file>

<file path=xl/worksheets/sheet5.xml><?xml version="1.0" encoding="utf-8"?>
<worksheet xmlns="http://schemas.openxmlformats.org/spreadsheetml/2006/main" xmlns:r="http://schemas.openxmlformats.org/officeDocument/2006/relationships">
  <sheetPr codeName="Sheet25"/>
  <dimension ref="A1:B43"/>
  <sheetViews>
    <sheetView zoomScalePageLayoutView="0" workbookViewId="0" topLeftCell="A1">
      <selection activeCell="B3" sqref="B3"/>
    </sheetView>
  </sheetViews>
  <sheetFormatPr defaultColWidth="9.140625" defaultRowHeight="12.75"/>
  <cols>
    <col min="1" max="1" width="33.8515625" style="0" customWidth="1"/>
    <col min="2" max="2" width="31.8515625" style="0" customWidth="1"/>
  </cols>
  <sheetData>
    <row r="1" ht="15">
      <c r="A1" s="148" t="s">
        <v>582</v>
      </c>
    </row>
    <row r="2" ht="12.75">
      <c r="A2" s="119" t="s">
        <v>146</v>
      </c>
    </row>
    <row r="3" spans="1:2" ht="15" customHeight="1">
      <c r="A3" s="151" t="s">
        <v>583</v>
      </c>
      <c r="B3" s="202" t="e">
        <f>IF(#REF!="Survivor",Input!C36,Input!C17)</f>
        <v>#REF!</v>
      </c>
    </row>
    <row r="4" spans="1:2" ht="15" customHeight="1">
      <c r="A4" s="151" t="s">
        <v>584</v>
      </c>
      <c r="B4" s="161">
        <f>IF(Input!C18="","",IF(AND(#REF!="Survivor",Input!C37=""),"",IF(AND(#REF!="Survivor",Input!C37&lt;&gt;""),Input!C37,Input!C18)))</f>
      </c>
    </row>
    <row r="5" spans="1:2" ht="15" customHeight="1">
      <c r="A5" s="151" t="s">
        <v>585</v>
      </c>
      <c r="B5" s="161">
        <f>IF(Input!C6="","",IF(#REF!="Survivor",Input!C33,Input!C6))</f>
      </c>
    </row>
    <row r="6" spans="1:2" ht="15" customHeight="1">
      <c r="A6" s="151" t="s">
        <v>586</v>
      </c>
      <c r="B6" s="161">
        <f>IF(Input!C4="","",IF(#REF!="Survivor",Input!C31,Input!C4))</f>
      </c>
    </row>
    <row r="7" spans="1:2" ht="15" customHeight="1">
      <c r="A7" s="151" t="s">
        <v>587</v>
      </c>
      <c r="B7" s="161">
        <f>IF(Input!C5="","",IF(#REF!="Survivor",Input!C32,Input!C5))</f>
      </c>
    </row>
    <row r="8" spans="1:2" ht="15" customHeight="1">
      <c r="A8" s="151" t="s">
        <v>588</v>
      </c>
      <c r="B8" s="161">
        <f>IF(Input!C8="","",IF(#REF!="Survivor",Input!C35,Input!C8))</f>
      </c>
    </row>
    <row r="9" spans="1:2" ht="15" customHeight="1">
      <c r="A9" s="151" t="s">
        <v>589</v>
      </c>
      <c r="B9" s="161">
        <f>IF(Input!C7="","",IF(#REF!="Survivor",Input!C34,Input!C7))</f>
      </c>
    </row>
    <row r="10" spans="1:2" ht="15" customHeight="1">
      <c r="A10" s="152" t="s">
        <v>590</v>
      </c>
      <c r="B10" s="162">
        <f>IF(Input!C20="","",IF(#REF!="Survivor",Input!C38,Input!C20))</f>
      </c>
    </row>
    <row r="11" spans="1:2" ht="15" customHeight="1">
      <c r="A11" s="152" t="s">
        <v>591</v>
      </c>
      <c r="B11" s="161">
        <f>IF(Input!C19="","",IF(AND(#REF!="Survivor",OR(Input!C19="Male",Input!C19="M")),"Female",IF(AND(#REF!="Survivor",OR(Input!C19="Female",Input!C19="F")),"Male",Input!C19)))</f>
      </c>
    </row>
    <row r="12" spans="1:2" ht="15" customHeight="1">
      <c r="A12" s="152" t="s">
        <v>592</v>
      </c>
      <c r="B12" s="161">
        <f>IF(Input!C29="","",Input!C29)</f>
      </c>
    </row>
    <row r="13" spans="1:2" ht="15" customHeight="1">
      <c r="A13" s="152" t="s">
        <v>593</v>
      </c>
      <c r="B13" s="161">
        <f>IF(Input!C30="","",Input!C30)</f>
      </c>
    </row>
    <row r="14" spans="1:2" ht="15" customHeight="1">
      <c r="A14" s="152" t="s">
        <v>594</v>
      </c>
      <c r="B14" s="161" t="e">
        <f>IF(#REF!="","",#REF!)</f>
        <v>#REF!</v>
      </c>
    </row>
    <row r="15" spans="1:2" ht="15" customHeight="1">
      <c r="A15" s="152" t="s">
        <v>595</v>
      </c>
      <c r="B15" s="161">
        <f>IF(Input!C25="","",IF(#REF!="Survivor","",Input!C25))</f>
      </c>
    </row>
    <row r="16" spans="1:2" ht="15" customHeight="1">
      <c r="A16" s="152" t="s">
        <v>596</v>
      </c>
      <c r="B16" s="162">
        <f>IF(Input!C26="","",IF(#REF!="Survivor","",Input!C26))</f>
      </c>
    </row>
    <row r="17" spans="1:2" ht="15" customHeight="1">
      <c r="A17" s="152" t="s">
        <v>597</v>
      </c>
      <c r="B17" s="161"/>
    </row>
    <row r="18" spans="1:2" ht="15" customHeight="1">
      <c r="A18" s="152" t="s">
        <v>598</v>
      </c>
      <c r="B18" s="162">
        <f>IF(Input!C23="","",Input!C23)</f>
      </c>
    </row>
    <row r="19" spans="1:2" ht="15" customHeight="1">
      <c r="A19" s="152" t="s">
        <v>599</v>
      </c>
      <c r="B19" s="162">
        <f>IF(Input!C28="","",Input!C28)</f>
      </c>
    </row>
    <row r="20" spans="1:2" ht="15" customHeight="1">
      <c r="A20" s="152" t="s">
        <v>510</v>
      </c>
      <c r="B20" s="162">
        <f>IF(Input!C22="","",IF(#REF!="Survivor","",Input!C22))</f>
      </c>
    </row>
    <row r="21" spans="1:2" ht="15" customHeight="1">
      <c r="A21" s="152" t="s">
        <v>600</v>
      </c>
      <c r="B21" s="161">
        <f>IF(Input!C10="","",Input!C10)</f>
      </c>
    </row>
    <row r="22" spans="1:2" ht="15" customHeight="1">
      <c r="A22" s="152" t="s">
        <v>601</v>
      </c>
      <c r="B22" s="161">
        <f>IF(Input!C9="","",Input!C9)</f>
      </c>
    </row>
    <row r="23" spans="1:2" ht="15" customHeight="1">
      <c r="A23" s="152" t="s">
        <v>602</v>
      </c>
      <c r="B23" s="161">
        <f>IF(Input!C11="","",Input!C11)</f>
      </c>
    </row>
    <row r="24" spans="1:2" ht="15" customHeight="1">
      <c r="A24" s="152" t="s">
        <v>603</v>
      </c>
      <c r="B24" s="161">
        <f>IF(Input!C12="","",Input!C12)</f>
      </c>
    </row>
    <row r="25" spans="1:2" ht="15" customHeight="1">
      <c r="A25" s="152" t="s">
        <v>604</v>
      </c>
      <c r="B25" s="161">
        <f>IF(Input!C13="","",Input!C13)</f>
      </c>
    </row>
    <row r="26" spans="1:2" ht="15" customHeight="1">
      <c r="A26" s="152" t="s">
        <v>605</v>
      </c>
      <c r="B26" s="161">
        <f>IF(Input!C14="","",Input!C14)</f>
      </c>
    </row>
    <row r="27" spans="1:2" ht="15" customHeight="1">
      <c r="A27" s="152" t="s">
        <v>606</v>
      </c>
      <c r="B27" s="161">
        <f>IF(Input!C15="","",Input!C15)</f>
      </c>
    </row>
    <row r="28" spans="1:2" ht="15" customHeight="1">
      <c r="A28" s="152" t="s">
        <v>607</v>
      </c>
      <c r="B28" s="161" t="e">
        <f>IF(#REF!="","",#REF!)</f>
        <v>#REF!</v>
      </c>
    </row>
    <row r="29" spans="1:2" ht="15" customHeight="1">
      <c r="A29" s="152" t="s">
        <v>608</v>
      </c>
      <c r="B29" s="161">
        <f>IF(Input!C16="","",Input!C16)</f>
      </c>
    </row>
    <row r="30" spans="1:2" ht="15" customHeight="1">
      <c r="A30" s="150" t="s">
        <v>716</v>
      </c>
      <c r="B30" s="161">
        <f>IF(Input!C36="","",IF(#REF!="Survivor","",Input!C36))</f>
      </c>
    </row>
    <row r="31" spans="1:2" ht="15" customHeight="1">
      <c r="A31" s="150" t="s">
        <v>717</v>
      </c>
      <c r="B31" s="161">
        <f>IF(Input!C37="","",IF(#REF!="Survivor","",Input!C37))</f>
      </c>
    </row>
    <row r="32" spans="1:2" ht="15" customHeight="1">
      <c r="A32" s="150" t="s">
        <v>718</v>
      </c>
      <c r="B32" s="161">
        <f>IF(Input!C33="","",IF(#REF!="Survivor","",Input!C33))</f>
      </c>
    </row>
    <row r="33" spans="1:2" ht="15" customHeight="1">
      <c r="A33" s="150" t="s">
        <v>719</v>
      </c>
      <c r="B33" s="161">
        <f>IF(Input!C31="","",IF(#REF!="Survivor","",Input!C31))</f>
      </c>
    </row>
    <row r="34" spans="1:2" ht="15" customHeight="1">
      <c r="A34" s="150" t="s">
        <v>720</v>
      </c>
      <c r="B34" s="161">
        <f>IF(Input!C32="","",IF(#REF!="Survivor","",Input!C32))</f>
      </c>
    </row>
    <row r="35" spans="1:2" ht="15" customHeight="1">
      <c r="A35" s="150" t="s">
        <v>721</v>
      </c>
      <c r="B35" s="161">
        <f>IF(Input!C35="","",IF(#REF!="Survivor","",Input!C35))</f>
      </c>
    </row>
    <row r="36" spans="1:2" ht="15" customHeight="1">
      <c r="A36" s="150" t="s">
        <v>722</v>
      </c>
      <c r="B36" s="161">
        <f>IF(Input!C34="","",IF(#REF!="Survivor","",Input!C34))</f>
      </c>
    </row>
    <row r="37" spans="1:2" ht="15" customHeight="1">
      <c r="A37" s="150" t="s">
        <v>723</v>
      </c>
      <c r="B37" s="162">
        <f>IF(Input!C38="","",IF(#REF!="Survivor","",Input!C38))</f>
      </c>
    </row>
    <row r="38" spans="1:2" ht="15" customHeight="1">
      <c r="A38" s="150" t="s">
        <v>724</v>
      </c>
      <c r="B38" s="162">
        <f>IF(Input!C26="","",IF(#REF!="Survivor","",Input!C26))</f>
      </c>
    </row>
    <row r="39" spans="1:2" ht="15" customHeight="1">
      <c r="A39" s="150" t="s">
        <v>725</v>
      </c>
      <c r="B39" s="162"/>
    </row>
    <row r="40" spans="1:2" ht="15" customHeight="1">
      <c r="A40" s="150" t="s">
        <v>726</v>
      </c>
      <c r="B40" s="162">
        <f>IF(Input!C39="","",Input!C39)</f>
      </c>
    </row>
    <row r="41" spans="1:2" ht="15" customHeight="1">
      <c r="A41" s="150" t="s">
        <v>727</v>
      </c>
      <c r="B41" s="161" t="e">
        <f>IF(#REF!=0,"",IF(#REF!="Survivor","",#REF!))</f>
        <v>#REF!</v>
      </c>
    </row>
    <row r="42" spans="1:2" ht="15" customHeight="1">
      <c r="A42" s="150" t="s">
        <v>728</v>
      </c>
      <c r="B42" s="161" t="e">
        <f>IF(#REF!=0,"",IF(#REF!="Survivor","",#REF!))</f>
        <v>#REF!</v>
      </c>
    </row>
    <row r="43" spans="1:2" ht="15" customHeight="1">
      <c r="A43" s="150" t="s">
        <v>729</v>
      </c>
      <c r="B43" s="161" t="e">
        <f>IF(#REF!="","",IF(#REF!="Survivor","",#REF!))</f>
        <v>#REF!</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password="CFA3" sheet="1" selectLockedCells="1"/>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26"/>
  <dimension ref="A1:H137"/>
  <sheetViews>
    <sheetView zoomScalePageLayoutView="0" workbookViewId="0" topLeftCell="B1">
      <selection activeCell="C2" sqref="C2"/>
    </sheetView>
  </sheetViews>
  <sheetFormatPr defaultColWidth="9.140625" defaultRowHeight="12.75"/>
  <cols>
    <col min="1" max="1" width="38.7109375" style="0" customWidth="1"/>
    <col min="2" max="2" width="24.7109375" style="0" customWidth="1"/>
    <col min="3" max="3" width="6.421875" style="0" customWidth="1"/>
    <col min="4" max="4" width="13.140625" style="0" customWidth="1"/>
    <col min="5" max="5" width="5.8515625" style="0" customWidth="1"/>
    <col min="6" max="6" width="38.7109375" style="0" customWidth="1"/>
    <col min="7" max="7" width="24.7109375" style="0" customWidth="1"/>
    <col min="8" max="8" width="6.421875" style="0" customWidth="1"/>
  </cols>
  <sheetData>
    <row r="1" ht="15" customHeight="1">
      <c r="A1" s="149" t="s">
        <v>582</v>
      </c>
    </row>
    <row r="2" spans="1:8" ht="15" customHeight="1">
      <c r="A2" s="149"/>
      <c r="B2" s="176" t="s">
        <v>759</v>
      </c>
      <c r="C2" s="184"/>
      <c r="G2" s="176" t="s">
        <v>761</v>
      </c>
      <c r="H2" s="185"/>
    </row>
    <row r="3" spans="1:8" ht="15" customHeight="1">
      <c r="A3" s="149"/>
      <c r="B3" s="176" t="s">
        <v>760</v>
      </c>
      <c r="C3" s="185"/>
      <c r="G3" s="176" t="s">
        <v>762</v>
      </c>
      <c r="H3" s="185"/>
    </row>
    <row r="4" spans="1:6" ht="12.75">
      <c r="A4" s="119" t="s">
        <v>507</v>
      </c>
      <c r="B4" s="135"/>
      <c r="F4" s="119" t="s">
        <v>684</v>
      </c>
    </row>
    <row r="5" spans="1:7" ht="15" customHeight="1">
      <c r="A5" s="155" t="s">
        <v>609</v>
      </c>
      <c r="B5" s="161" t="e">
        <f>IF(#REF!="Y","Y","")</f>
        <v>#REF!</v>
      </c>
      <c r="F5" s="130" t="s">
        <v>511</v>
      </c>
      <c r="G5" s="165" t="e">
        <f>IF(OR(#REF!="Required",#REF!="Y"),BRF,"")</f>
        <v>#REF!</v>
      </c>
    </row>
    <row r="6" spans="1:7" ht="15" customHeight="1">
      <c r="A6" s="155" t="s">
        <v>511</v>
      </c>
      <c r="B6" s="161" t="e">
        <f>BRF</f>
        <v>#REF!</v>
      </c>
      <c r="F6" s="130" t="s">
        <v>730</v>
      </c>
      <c r="G6" s="165" t="e">
        <f>IF(#REF!="","",IF(OR(#REF!="Required",#REF!="Y"),#REF!,""))</f>
        <v>#REF!</v>
      </c>
    </row>
    <row r="7" spans="1:7" ht="15" customHeight="1">
      <c r="A7" s="155" t="s">
        <v>730</v>
      </c>
      <c r="B7" s="161" t="e">
        <f>IF(#REF!="","",#REF!)</f>
        <v>#REF!</v>
      </c>
      <c r="F7" s="130" t="s">
        <v>515</v>
      </c>
      <c r="G7" s="165" t="e">
        <f>IF(OR(#REF!=0,H3="Y"),"",IF(OR(#REF!="Required",#REF!="Y"),#REF!,""))</f>
        <v>#REF!</v>
      </c>
    </row>
    <row r="8" spans="1:7" ht="15" customHeight="1">
      <c r="A8" s="154" t="s">
        <v>515</v>
      </c>
      <c r="B8" s="163" t="e">
        <f>IF(#REF!=0,"",#REF!)</f>
        <v>#REF!</v>
      </c>
      <c r="D8" s="52"/>
      <c r="F8" s="130" t="s">
        <v>610</v>
      </c>
      <c r="G8" s="165" t="e">
        <f>IF(#REF!=0,"",IF(#REF!="Required",#REF!,""))</f>
        <v>#REF!</v>
      </c>
    </row>
    <row r="9" spans="1:7" ht="15" customHeight="1">
      <c r="A9" s="155" t="s">
        <v>610</v>
      </c>
      <c r="B9" s="161" t="e">
        <f>IF(#REF!=0,"",#REF!)</f>
        <v>#REF!</v>
      </c>
      <c r="F9" s="130" t="s">
        <v>611</v>
      </c>
      <c r="G9" s="165" t="e">
        <f>IF(#REF!=0,"",IF(#REF!="Required",#REF!,""))</f>
        <v>#REF!</v>
      </c>
    </row>
    <row r="10" spans="1:7" ht="15" customHeight="1">
      <c r="A10" s="155" t="s">
        <v>611</v>
      </c>
      <c r="B10" s="161" t="e">
        <f>IF(#REF!=0,"",#REF!)</f>
        <v>#REF!</v>
      </c>
      <c r="F10" s="130" t="s">
        <v>612</v>
      </c>
      <c r="G10" s="165" t="e">
        <f>IF(#REF!=0,"",IF(#REF!="Required",Input!C30,""))</f>
        <v>#REF!</v>
      </c>
    </row>
    <row r="11" spans="1:7" ht="15" customHeight="1">
      <c r="A11" s="155" t="s">
        <v>612</v>
      </c>
      <c r="B11" s="161">
        <f>IF(Input!C30="","",Input!C30)</f>
      </c>
      <c r="F11" s="130" t="s">
        <v>613</v>
      </c>
      <c r="G11" s="165" t="e">
        <f>IF(#REF!="","",IF(#REF!="Required",#REF!,""))</f>
        <v>#REF!</v>
      </c>
    </row>
    <row r="12" spans="1:7" ht="15" customHeight="1">
      <c r="A12" s="155" t="s">
        <v>613</v>
      </c>
      <c r="B12" s="161" t="e">
        <f>IF(#REF!=0,"",#REF!)</f>
        <v>#REF!</v>
      </c>
      <c r="D12" s="52"/>
      <c r="F12" s="130" t="s">
        <v>614</v>
      </c>
      <c r="G12" s="165" t="e">
        <f>IF(#REF!="","",#REF!)</f>
        <v>#REF!</v>
      </c>
    </row>
    <row r="13" spans="1:7" ht="15" customHeight="1">
      <c r="A13" s="155" t="s">
        <v>614</v>
      </c>
      <c r="B13" s="161" t="e">
        <f>IF(#REF!="","",#REF!)</f>
        <v>#REF!</v>
      </c>
      <c r="F13" s="130" t="s">
        <v>615</v>
      </c>
      <c r="G13" s="165" t="e">
        <f>IF(#REF!="","",IF(#REF!="Required",#REF!,""))</f>
        <v>#REF!</v>
      </c>
    </row>
    <row r="14" spans="1:7" ht="15" customHeight="1">
      <c r="A14" s="155" t="s">
        <v>615</v>
      </c>
      <c r="B14" s="161" t="e">
        <f>IF(#REF!="","",#REF!)</f>
        <v>#REF!</v>
      </c>
      <c r="F14" s="130" t="s">
        <v>616</v>
      </c>
      <c r="G14" s="165" t="e">
        <f>IF(#REF!="","",#REF!)</f>
        <v>#REF!</v>
      </c>
    </row>
    <row r="15" spans="1:7" ht="15" customHeight="1">
      <c r="A15" s="155" t="s">
        <v>616</v>
      </c>
      <c r="B15" s="161" t="e">
        <f>IF(#REF!="","",#REF!)</f>
        <v>#REF!</v>
      </c>
      <c r="F15" s="130" t="s">
        <v>617</v>
      </c>
      <c r="G15" s="165" t="e">
        <f>IF(#REF!="","",#REF!)</f>
        <v>#REF!</v>
      </c>
    </row>
    <row r="16" spans="1:7" ht="15" customHeight="1">
      <c r="A16" s="155" t="s">
        <v>617</v>
      </c>
      <c r="B16" s="161" t="e">
        <f>IF(#REF!="","",#REF!)</f>
        <v>#REF!</v>
      </c>
      <c r="F16" s="130" t="s">
        <v>704</v>
      </c>
      <c r="G16" s="170">
        <f>IF(H2="","",IF(#REF!="Required",#REF!,""))</f>
      </c>
    </row>
    <row r="17" spans="1:7" ht="15" customHeight="1">
      <c r="A17" s="155" t="s">
        <v>521</v>
      </c>
      <c r="B17" s="161">
        <f>IF(C2="","",IF(#REF!=0,"",IF(#REF!="Y","",IF(#REF!="Required","",IF(#REF!=0,"",#REF!)))))</f>
      </c>
      <c r="F17" s="130" t="s">
        <v>705</v>
      </c>
      <c r="G17" s="165">
        <f>IF(H2="","",IF(#REF!=0,"",IF(#REF!="Required",#REF!,"")))</f>
      </c>
    </row>
    <row r="18" spans="1:7" ht="15" customHeight="1">
      <c r="A18" s="155" t="s">
        <v>522</v>
      </c>
      <c r="B18" s="161">
        <f>IF(C3="","",IF(#REF!=0,"",IF(#REF!="Y","",IF(#REF!="Y","",#REF!))))</f>
      </c>
      <c r="F18" s="130" t="s">
        <v>706</v>
      </c>
      <c r="G18" s="165">
        <f>IF(H2="","",IF(#REF!="Y","Y",""))</f>
      </c>
    </row>
    <row r="19" spans="1:7" ht="15" customHeight="1">
      <c r="A19" s="155" t="s">
        <v>523</v>
      </c>
      <c r="B19" s="161">
        <f>IF(C2="","",IF(#REF!="","",#REF!+#REF!))</f>
      </c>
      <c r="F19" s="130" t="s">
        <v>550</v>
      </c>
      <c r="G19" s="170">
        <f>IF(H3="","",IF(#REF!="Y",#REF!,""))</f>
      </c>
    </row>
    <row r="20" spans="1:7" ht="15" customHeight="1">
      <c r="A20" s="155" t="s">
        <v>524</v>
      </c>
      <c r="B20" s="161">
        <f>IF(C2="","",IF(#REF!=0,"",IF(#REF!="Y","",#REF!)))</f>
      </c>
      <c r="F20" s="130" t="s">
        <v>764</v>
      </c>
      <c r="G20" s="170">
        <f>IF(H3="","",IF(#REF!=0,"",#REF!))</f>
      </c>
    </row>
    <row r="21" spans="1:7" ht="15" customHeight="1">
      <c r="A21" s="155" t="s">
        <v>525</v>
      </c>
      <c r="B21" s="161">
        <f>IF(C3="","",IF(#REF!="Y","",IF(#REF!&gt;0,#REF!,"")))</f>
      </c>
      <c r="F21" s="130" t="s">
        <v>552</v>
      </c>
      <c r="G21" s="170">
        <f>IF(H3="","",IF(#REF!="Y",#REF!,""))</f>
      </c>
    </row>
    <row r="22" spans="1:7" ht="15" customHeight="1">
      <c r="A22" s="155" t="s">
        <v>526</v>
      </c>
      <c r="B22" s="161">
        <f>IF(C2="","",IF(#REF!="","",#REF!))</f>
      </c>
      <c r="F22" s="130" t="s">
        <v>707</v>
      </c>
      <c r="G22" s="165">
        <f>IF(H3="","",IF(#REF!="Y","Y",""))</f>
      </c>
    </row>
    <row r="23" spans="1:7" ht="15" customHeight="1">
      <c r="A23" s="155" t="s">
        <v>527</v>
      </c>
      <c r="B23" s="161">
        <f>IF(C2="","",IF(#REF!=0,"",#REF!))</f>
      </c>
      <c r="F23" s="159" t="s">
        <v>553</v>
      </c>
      <c r="G23" s="166"/>
    </row>
    <row r="24" spans="1:7" ht="15" customHeight="1">
      <c r="A24" s="155" t="s">
        <v>528</v>
      </c>
      <c r="B24" s="161">
        <f>IF(C3="","",IF(#REF!="Y","",IF(#REF!&gt;0,#REF!,"")))</f>
      </c>
      <c r="F24" s="159" t="s">
        <v>714</v>
      </c>
      <c r="G24" s="166"/>
    </row>
    <row r="25" spans="1:8" ht="15" customHeight="1">
      <c r="A25" s="155" t="s">
        <v>529</v>
      </c>
      <c r="B25" s="161">
        <f>IF(C2="","",IF(#REF!="","",#REF!))</f>
      </c>
      <c r="F25" s="130" t="s">
        <v>521</v>
      </c>
      <c r="G25" s="165">
        <f>IF(H2="","",IF(AND(#REF!="Required",#REF!="Y"),"",IF(#REF!="Required",#REF!,"")))</f>
      </c>
      <c r="H25" s="141" t="s">
        <v>715</v>
      </c>
    </row>
    <row r="26" spans="1:8" ht="15" customHeight="1">
      <c r="A26" s="155" t="s">
        <v>530</v>
      </c>
      <c r="B26" s="161">
        <f>IF(C2="","",IF(#REF!=0,"",IF(#REF!="Y",#REF!,"")))</f>
      </c>
      <c r="F26" s="130" t="s">
        <v>522</v>
      </c>
      <c r="G26" s="165">
        <f>IF(H3="","",IF(AND(#REF!="Y",#REF!="Y"),"",IF(#REF!="Y",#REF!,"")))</f>
      </c>
      <c r="H26" s="141" t="s">
        <v>715</v>
      </c>
    </row>
    <row r="27" spans="1:8" ht="15" customHeight="1">
      <c r="A27" s="155" t="s">
        <v>531</v>
      </c>
      <c r="B27" s="161">
        <f>IF(C3="","",IF(#REF!=0,"",IF(#REF!="Y",#REF!,"")))</f>
      </c>
      <c r="F27" s="130" t="s">
        <v>523</v>
      </c>
      <c r="G27" s="165">
        <f>IF(H2="","",IF(AND(#REF!="Required",#REF!&lt;&gt;""),#REF!+#REF!,""))</f>
      </c>
      <c r="H27" s="141" t="s">
        <v>715</v>
      </c>
    </row>
    <row r="28" spans="1:8" ht="15" customHeight="1">
      <c r="A28" s="155" t="s">
        <v>532</v>
      </c>
      <c r="B28" s="161">
        <f>IF(C2="","",IF(#REF!="","",IF(#REF!="Y",#REF!,"")))</f>
      </c>
      <c r="F28" s="130" t="s">
        <v>524</v>
      </c>
      <c r="G28" s="165">
        <f>IF(H2="","",IF(#REF!=0,"",IF(#REF!="Required",#REF!,"")))</f>
      </c>
      <c r="H28" s="141" t="s">
        <v>715</v>
      </c>
    </row>
    <row r="29" spans="1:8" ht="15" customHeight="1">
      <c r="A29" s="155" t="s">
        <v>618</v>
      </c>
      <c r="B29" s="161">
        <f>IF(C2="","",IF(#REF!=0,"",IF(#REF!="Y",#REF!,"")))</f>
      </c>
      <c r="F29" s="130" t="s">
        <v>525</v>
      </c>
      <c r="G29" s="165">
        <f>IF(H3="","",IF(#REF!=0,"",IF(#REF!="Y",#REF!,"")))</f>
      </c>
      <c r="H29" s="141" t="s">
        <v>715</v>
      </c>
    </row>
    <row r="30" spans="1:8" ht="15" customHeight="1">
      <c r="A30" s="155" t="s">
        <v>619</v>
      </c>
      <c r="B30" s="161">
        <f>IF(C3="","",IF(#REF!=0,"",IF(#REF!="Y",#REF!,"")))</f>
      </c>
      <c r="F30" s="130" t="s">
        <v>526</v>
      </c>
      <c r="G30" s="165">
        <f>IF(H2="","",IF(#REF!="","",IF(#REF!="","",IF(#REF!="Required",#REF!,""))))</f>
      </c>
      <c r="H30" s="141" t="s">
        <v>715</v>
      </c>
    </row>
    <row r="31" spans="1:8" ht="15" customHeight="1">
      <c r="A31" s="155" t="s">
        <v>620</v>
      </c>
      <c r="B31" s="161">
        <f>IF(C2="","",IF(#REF!="","",IF(#REF!="Y",#REF!,"")))</f>
      </c>
      <c r="F31" s="130" t="s">
        <v>527</v>
      </c>
      <c r="G31" s="165" t="e">
        <f>IF(AND(H2="Y",#REF!="Required"),#REF!,"")</f>
        <v>#REF!</v>
      </c>
      <c r="H31" s="141" t="s">
        <v>715</v>
      </c>
    </row>
    <row r="32" spans="1:8" ht="15" customHeight="1">
      <c r="A32" s="155" t="s">
        <v>621</v>
      </c>
      <c r="B32" s="161">
        <f>IF(C2="","",IF(#REF!=0,"",IF(#REF!="Y",#REF!,"")))</f>
      </c>
      <c r="F32" s="130" t="s">
        <v>528</v>
      </c>
      <c r="G32" s="165">
        <f>IF(H3="","",IF(#REF!=0,"",IF(#REF!="Y",#REF!,"")))</f>
      </c>
      <c r="H32" s="141" t="s">
        <v>715</v>
      </c>
    </row>
    <row r="33" spans="1:8" ht="15" customHeight="1">
      <c r="A33" s="155" t="s">
        <v>622</v>
      </c>
      <c r="B33" s="161">
        <f>IF(C3="","",IF(#REF!=0,"",IF(#REF!="Y",#REF!,"")))</f>
      </c>
      <c r="F33" s="130" t="s">
        <v>529</v>
      </c>
      <c r="G33" s="165">
        <f>IF(H2="","",IF(#REF!="","",IF(#REF!="","",IF(#REF!="Required",#REF!,""))))</f>
      </c>
      <c r="H33" s="141" t="s">
        <v>715</v>
      </c>
    </row>
    <row r="34" spans="1:8" ht="15" customHeight="1">
      <c r="A34" s="155" t="s">
        <v>623</v>
      </c>
      <c r="B34" s="161">
        <f>IF(C2="","",IF(#REF!="","",IF(#REF!="Y",#REF!,"")))</f>
      </c>
      <c r="F34" s="130" t="s">
        <v>530</v>
      </c>
      <c r="G34" s="165">
        <f>IF(H2="","",IF(AND(#REF!="Required",#REF!="Y"),#REF!,""))</f>
      </c>
      <c r="H34" s="141" t="s">
        <v>715</v>
      </c>
    </row>
    <row r="35" spans="1:8" ht="15" customHeight="1">
      <c r="A35" s="153" t="s">
        <v>624</v>
      </c>
      <c r="B35" s="167">
        <f>IF(C2="","",IF(#REF!="","",IF(#REF!="Required","",#REF!)))</f>
      </c>
      <c r="F35" s="130" t="s">
        <v>531</v>
      </c>
      <c r="G35" s="165">
        <f>IF(H3="","",IF(AND(#REF!="Y",#REF!="Y"),#REF!,""))</f>
      </c>
      <c r="H35" s="141" t="s">
        <v>715</v>
      </c>
    </row>
    <row r="36" spans="1:8" ht="15" customHeight="1">
      <c r="A36" s="153" t="s">
        <v>625</v>
      </c>
      <c r="B36" s="167">
        <f>IF(C3="","",IF(#REF!="","",#REF!))</f>
      </c>
      <c r="F36" s="130" t="s">
        <v>532</v>
      </c>
      <c r="G36" s="165">
        <f>IF(H2="","",IF(AND(#REF!="Required",#REF!&lt;&gt;"",#REF!="Y"),#REF!+#REF!,""))</f>
      </c>
      <c r="H36" s="141" t="s">
        <v>715</v>
      </c>
    </row>
    <row r="37" spans="1:8" ht="15" customHeight="1">
      <c r="A37" s="153" t="s">
        <v>626</v>
      </c>
      <c r="B37" s="167" t="e">
        <f>IF(#REF!="","",#REF!)</f>
        <v>#REF!</v>
      </c>
      <c r="F37" s="130" t="s">
        <v>618</v>
      </c>
      <c r="G37" s="165">
        <f>IF(H2="","",IF(AND(#REF!="Y",#REF!="Required"),#REF!,""))</f>
      </c>
      <c r="H37" s="141" t="s">
        <v>715</v>
      </c>
    </row>
    <row r="38" spans="1:8" ht="15" customHeight="1">
      <c r="A38" s="153" t="s">
        <v>627</v>
      </c>
      <c r="B38" s="167" t="e">
        <f>IF(#REF!="","",#REF!)</f>
        <v>#REF!</v>
      </c>
      <c r="F38" s="130" t="s">
        <v>619</v>
      </c>
      <c r="G38" s="165">
        <f>IF(H3="","",IF(#REF!=0,"",IF(AND(#REF!="Y",#REF!="Y"),#REF!,"")))</f>
      </c>
      <c r="H38" s="141" t="s">
        <v>715</v>
      </c>
    </row>
    <row r="39" spans="1:8" ht="15" customHeight="1">
      <c r="A39" s="153" t="s">
        <v>628</v>
      </c>
      <c r="B39" s="167">
        <f>IF(C2="","",IF(#REF!="","",#REF!))</f>
      </c>
      <c r="F39" s="130" t="s">
        <v>620</v>
      </c>
      <c r="G39" s="165">
        <f>IF(H2="","",IF(AND(#REF!="Required",#REF!="Y",#REF!&lt;&gt;""),#REF!,""))</f>
      </c>
      <c r="H39" s="141" t="s">
        <v>715</v>
      </c>
    </row>
    <row r="40" spans="1:8" ht="15" customHeight="1">
      <c r="A40" s="153" t="s">
        <v>629</v>
      </c>
      <c r="B40" s="167">
        <f>IF(C2="","",IF(#REF!="","",#REF!))</f>
      </c>
      <c r="F40" s="130" t="s">
        <v>621</v>
      </c>
      <c r="G40" s="165">
        <f>IF(H2="","",IF(AND(#REF!="Y",#REF!="Required"),#REF!,""))</f>
      </c>
      <c r="H40" s="141" t="s">
        <v>715</v>
      </c>
    </row>
    <row r="41" spans="1:8" ht="15" customHeight="1">
      <c r="A41" s="153" t="s">
        <v>630</v>
      </c>
      <c r="B41" s="167">
        <f>IF(C2="","",IF(#REF!="","",#REF!))</f>
      </c>
      <c r="F41" s="130" t="s">
        <v>622</v>
      </c>
      <c r="G41" s="165">
        <f>IF(H3="","",IF(#REF!=0,"",IF(AND(#REF!="Y",#REF!="Y"),#REF!,"")))</f>
      </c>
      <c r="H41" s="141" t="s">
        <v>715</v>
      </c>
    </row>
    <row r="42" spans="1:8" ht="15" customHeight="1">
      <c r="A42" s="153" t="s">
        <v>631</v>
      </c>
      <c r="B42" s="167" t="e">
        <f>IF(#REF!="","",#REF!)</f>
        <v>#REF!</v>
      </c>
      <c r="F42" s="130" t="s">
        <v>623</v>
      </c>
      <c r="G42" s="165">
        <f>IF(H2="","",IF(AND(#REF!="Y",#REF!="Required",#REF!&lt;&gt;""),#REF!,""))</f>
      </c>
      <c r="H42" s="141" t="s">
        <v>715</v>
      </c>
    </row>
    <row r="43" spans="1:8" ht="15" customHeight="1">
      <c r="A43" s="153" t="s">
        <v>632</v>
      </c>
      <c r="B43" s="167">
        <f>IF(C2="","",IF(#REF!="","",#REF!))</f>
      </c>
      <c r="F43" s="160" t="s">
        <v>708</v>
      </c>
      <c r="G43" s="165" t="e">
        <f>IF(#REF!=0,"",IF(AND(#REF!="Y",#REF!&gt;0,#REF!="Required"),#REF!,""))</f>
        <v>#REF!</v>
      </c>
      <c r="H43" s="141" t="s">
        <v>715</v>
      </c>
    </row>
    <row r="44" spans="1:8" ht="15" customHeight="1">
      <c r="A44" s="153" t="s">
        <v>633</v>
      </c>
      <c r="B44" s="167">
        <f>IF(C2="","",IF(#REF!="","",#REF!))</f>
      </c>
      <c r="F44" s="159" t="s">
        <v>709</v>
      </c>
      <c r="G44" s="166"/>
      <c r="H44" s="141" t="s">
        <v>715</v>
      </c>
    </row>
    <row r="45" spans="1:8" ht="15" customHeight="1">
      <c r="A45" s="153" t="s">
        <v>634</v>
      </c>
      <c r="B45" s="167">
        <f>IF(C2="","",IF(#REF!="","",#REF!))</f>
      </c>
      <c r="F45" s="160" t="s">
        <v>710</v>
      </c>
      <c r="G45" s="165" t="e">
        <f>IF(AND(#REF!="Y",#REF!="Required"),'Benefits Letter'!B67,"")</f>
        <v>#REF!</v>
      </c>
      <c r="H45" s="141" t="s">
        <v>715</v>
      </c>
    </row>
    <row r="46" spans="1:8" ht="15" customHeight="1">
      <c r="A46" s="153" t="s">
        <v>635</v>
      </c>
      <c r="B46" s="167">
        <f>IF(C2="","",IF(#REF!="","",#REF!))</f>
      </c>
      <c r="F46" s="159" t="s">
        <v>711</v>
      </c>
      <c r="G46" s="166"/>
      <c r="H46" s="141" t="s">
        <v>715</v>
      </c>
    </row>
    <row r="47" spans="1:7" ht="15" customHeight="1">
      <c r="A47" s="153" t="s">
        <v>636</v>
      </c>
      <c r="B47" s="167">
        <f>IF(C2="","",IF(#REF!="","",#REF!))</f>
      </c>
      <c r="F47" s="130" t="s">
        <v>624</v>
      </c>
      <c r="G47" s="170">
        <f>IF(H2="","",IF(#REF!="","",IF(OR(#REF!="Required",#REF!="Y"),#REF!,"")))</f>
      </c>
    </row>
    <row r="48" spans="1:7" ht="15" customHeight="1">
      <c r="A48" s="153" t="s">
        <v>637</v>
      </c>
      <c r="B48" s="167" t="e">
        <f>IF(#REF!="","",#REF!)</f>
        <v>#REF!</v>
      </c>
      <c r="F48" s="130" t="s">
        <v>625</v>
      </c>
      <c r="G48" s="170">
        <f>IF(H3="","",IF(#REF!="","",IF(OR(#REF!="Y",#REF!="Required"),#REF!,"")))</f>
      </c>
    </row>
    <row r="49" spans="1:7" ht="15" customHeight="1">
      <c r="A49" s="153" t="s">
        <v>638</v>
      </c>
      <c r="B49" s="167" t="e">
        <f>IF(#REF!="","",#REF!)</f>
        <v>#REF!</v>
      </c>
      <c r="F49" s="130" t="s">
        <v>626</v>
      </c>
      <c r="G49" s="171" t="e">
        <f>IF(#REF!="","",IF(OR(#REF!="Required",#REF!="Y"),#REF!,""))</f>
        <v>#REF!</v>
      </c>
    </row>
    <row r="50" spans="1:7" ht="15" customHeight="1">
      <c r="A50" s="153" t="s">
        <v>639</v>
      </c>
      <c r="B50" s="167">
        <f>IF(C2="","",IF(#REF!="","",#REF!))</f>
      </c>
      <c r="F50" s="130" t="s">
        <v>627</v>
      </c>
      <c r="G50" s="170" t="e">
        <f>IF(#REF!="","",IF(OR(#REF!="Y",#REF!="Y"),#REF!,""))</f>
        <v>#REF!</v>
      </c>
    </row>
    <row r="51" spans="1:7" ht="15" customHeight="1">
      <c r="A51" s="153" t="s">
        <v>640</v>
      </c>
      <c r="B51" s="167">
        <f>IF(C2="","",IF(#REF!="","",#REF!))</f>
      </c>
      <c r="F51" s="130" t="s">
        <v>628</v>
      </c>
      <c r="G51" s="170" t="e">
        <f>IF(#REF!="","",IF(OR(#REF!="Y",#REF!="Required"),#REF!,""))</f>
        <v>#REF!</v>
      </c>
    </row>
    <row r="52" spans="1:7" ht="15" customHeight="1">
      <c r="A52" s="153" t="s">
        <v>641</v>
      </c>
      <c r="B52" s="167">
        <f>IF(C2="","",IF(#REF!="","",#REF!))</f>
      </c>
      <c r="F52" s="130" t="s">
        <v>629</v>
      </c>
      <c r="G52" s="170" t="e">
        <f>IF(#REF!="","",IF(OR(#REF!="Y",#REF!="Required"),#REF!,""))</f>
        <v>#REF!</v>
      </c>
    </row>
    <row r="53" spans="1:7" ht="15" customHeight="1">
      <c r="A53" s="153" t="s">
        <v>642</v>
      </c>
      <c r="B53" s="167">
        <f>IF(C2="","",IF(#REF!="","",#REF!))</f>
      </c>
      <c r="F53" s="130" t="s">
        <v>630</v>
      </c>
      <c r="G53" s="170" t="e">
        <f>IF(#REF!="","",IF(OR(#REF!="Y",#REF!="Required"),#REF!,""))</f>
        <v>#REF!</v>
      </c>
    </row>
    <row r="54" spans="1:7" ht="15" customHeight="1">
      <c r="A54" s="153" t="s">
        <v>643</v>
      </c>
      <c r="B54" s="167">
        <f>IF(C3="","",IF(#REF!="","",#REF!))</f>
      </c>
      <c r="F54" s="130" t="s">
        <v>631</v>
      </c>
      <c r="G54" s="170" t="e">
        <f>IF(#REF!="","",IF(OR(#REF!="Y",#REF!="Required"),#REF!,""))</f>
        <v>#REF!</v>
      </c>
    </row>
    <row r="55" spans="1:7" ht="15" customHeight="1">
      <c r="A55" s="153" t="s">
        <v>644</v>
      </c>
      <c r="B55" s="167" t="e">
        <f>IF(#REF!="","",#REF!)</f>
        <v>#REF!</v>
      </c>
      <c r="F55" s="130" t="s">
        <v>632</v>
      </c>
      <c r="G55" s="170" t="e">
        <f>IF(#REF!="","",IF(OR(#REF!="Y",#REF!="Required"),#REF!,""))</f>
        <v>#REF!</v>
      </c>
    </row>
    <row r="56" spans="1:7" ht="15" customHeight="1">
      <c r="A56" s="153" t="s">
        <v>645</v>
      </c>
      <c r="B56" s="167" t="e">
        <f>IF(#REF!="","",#REF!)</f>
        <v>#REF!</v>
      </c>
      <c r="F56" s="130" t="s">
        <v>633</v>
      </c>
      <c r="G56" s="170" t="e">
        <f>IF(#REF!="","",IF(OR(#REF!="Y",#REF!="Required"),#REF!,""))</f>
        <v>#REF!</v>
      </c>
    </row>
    <row r="57" spans="1:7" ht="15" customHeight="1">
      <c r="A57" s="153" t="s">
        <v>646</v>
      </c>
      <c r="B57" s="167">
        <f>IF(C2="","",IF(#REF!="","",#REF!))</f>
      </c>
      <c r="F57" s="130" t="s">
        <v>634</v>
      </c>
      <c r="G57" s="170" t="e">
        <f>IF(#REF!="","",IF(OR(#REF!="Y",#REF!="Required"),#REF!))</f>
        <v>#REF!</v>
      </c>
    </row>
    <row r="58" spans="1:7" ht="15" customHeight="1">
      <c r="A58" s="153" t="s">
        <v>647</v>
      </c>
      <c r="B58" s="167" t="e">
        <f>IF(#REF!="","",#REF!)</f>
        <v>#REF!</v>
      </c>
      <c r="F58" s="130" t="s">
        <v>635</v>
      </c>
      <c r="G58" s="170" t="e">
        <f>IF(#REF!="","",IF(OR(#REF!="Y",#REF!="Required"),#REF!,""))</f>
        <v>#REF!</v>
      </c>
    </row>
    <row r="59" spans="1:7" ht="15" customHeight="1">
      <c r="A59" s="153" t="s">
        <v>648</v>
      </c>
      <c r="B59" s="167" t="e">
        <f>IF(#REF!="","",#REF!)</f>
        <v>#REF!</v>
      </c>
      <c r="F59" s="130" t="s">
        <v>636</v>
      </c>
      <c r="G59" s="170" t="e">
        <f>IF(#REF!="","",IF(OR(#REF!="Y",#REF!="Required"),#REF!,""))</f>
        <v>#REF!</v>
      </c>
    </row>
    <row r="60" spans="1:7" ht="15" customHeight="1">
      <c r="A60" s="153" t="s">
        <v>649</v>
      </c>
      <c r="B60" s="167" t="e">
        <f>IF(#REF!="","",#REF!)</f>
        <v>#REF!</v>
      </c>
      <c r="F60" s="130" t="s">
        <v>637</v>
      </c>
      <c r="G60" s="170" t="e">
        <f>IF(#REF!="","",IF(OR(#REF!="Y",#REF!="Required"),#REF!,""))</f>
        <v>#REF!</v>
      </c>
    </row>
    <row r="61" spans="1:7" ht="15" customHeight="1">
      <c r="A61" s="153" t="s">
        <v>650</v>
      </c>
      <c r="B61" s="167" t="e">
        <f>IF(#REF!="","",#REF!)</f>
        <v>#REF!</v>
      </c>
      <c r="F61" s="130" t="s">
        <v>638</v>
      </c>
      <c r="G61" s="170" t="e">
        <f>IF(#REF!="","",IF(OR(#REF!="Y",#REF!="Required"),#REF!,""))</f>
        <v>#REF!</v>
      </c>
    </row>
    <row r="62" spans="1:7" ht="15" customHeight="1">
      <c r="A62" s="153" t="s">
        <v>651</v>
      </c>
      <c r="B62" s="167" t="e">
        <f>IF(#REF!="","",#REF!)</f>
        <v>#REF!</v>
      </c>
      <c r="F62" s="130" t="s">
        <v>639</v>
      </c>
      <c r="G62" s="170" t="e">
        <f>IF(#REF!="","",IF(OR(#REF!="Y",#REF!="Required"),#REF!,""))</f>
        <v>#REF!</v>
      </c>
    </row>
    <row r="63" spans="1:7" ht="15" customHeight="1">
      <c r="A63" s="153" t="s">
        <v>652</v>
      </c>
      <c r="B63" s="167" t="e">
        <f>IF(#REF!="","",#REF!)</f>
        <v>#REF!</v>
      </c>
      <c r="F63" s="130" t="s">
        <v>640</v>
      </c>
      <c r="G63" s="170" t="e">
        <f>IF(#REF!="","",IF(OR(#REF!="Y",#REF!="Required"),#REF!,""))</f>
        <v>#REF!</v>
      </c>
    </row>
    <row r="64" spans="1:7" ht="15" customHeight="1">
      <c r="A64" s="153" t="s">
        <v>653</v>
      </c>
      <c r="B64" s="167" t="e">
        <f>IF(#REF!="","",#REF!)</f>
        <v>#REF!</v>
      </c>
      <c r="F64" s="130" t="s">
        <v>641</v>
      </c>
      <c r="G64" s="170" t="e">
        <f>IF(#REF!="","",IF(OR(#REF!="Y",#REF!="Required"),#REF!,""))</f>
        <v>#REF!</v>
      </c>
    </row>
    <row r="65" spans="1:7" ht="15" customHeight="1">
      <c r="A65" s="153" t="s">
        <v>654</v>
      </c>
      <c r="B65" s="167">
        <f>IF(C2="","",IF(#REF!="","",#REF!))</f>
      </c>
      <c r="F65" s="130" t="s">
        <v>642</v>
      </c>
      <c r="G65" s="170" t="e">
        <f>IF(#REF!="","",IF(OR(#REF!="Y",#REF!="Required"),#REF!,""))</f>
        <v>#REF!</v>
      </c>
    </row>
    <row r="66" spans="1:7" ht="15" customHeight="1">
      <c r="A66" s="153" t="s">
        <v>655</v>
      </c>
      <c r="B66" s="167">
        <f>IF(C2="","",IF(#REF!="","",#REF!))</f>
      </c>
      <c r="F66" s="130" t="s">
        <v>643</v>
      </c>
      <c r="G66" s="170" t="e">
        <f>IF(#REF!="","",IF(OR(#REF!="Y",#REF!="Required"),#REF!,""))</f>
        <v>#REF!</v>
      </c>
    </row>
    <row r="67" spans="1:7" ht="15" customHeight="1">
      <c r="A67" s="153" t="s">
        <v>656</v>
      </c>
      <c r="B67" s="167">
        <f>IF(C2="","",IF(#REF!="","",#REF!))</f>
      </c>
      <c r="F67" s="130" t="s">
        <v>644</v>
      </c>
      <c r="G67" s="170" t="e">
        <f>IF(#REF!="","",IF(OR(#REF!="Y",#REF!="Required"),#REF!,""))</f>
        <v>#REF!</v>
      </c>
    </row>
    <row r="68" spans="1:7" ht="15" customHeight="1">
      <c r="A68" s="153" t="s">
        <v>657</v>
      </c>
      <c r="B68" s="167">
        <f>IF(C2="","",IF(#REF!="","",#REF!))</f>
      </c>
      <c r="F68" s="130" t="s">
        <v>645</v>
      </c>
      <c r="G68" s="170" t="e">
        <f>IF(#REF!="","",IF(OR(#REF!="Y",#REF!="Required"),#REF!,""))</f>
        <v>#REF!</v>
      </c>
    </row>
    <row r="69" spans="1:7" ht="15" customHeight="1">
      <c r="A69" s="153" t="s">
        <v>658</v>
      </c>
      <c r="B69" s="167">
        <f>IF(C2="","",IF(#REF!="","",#REF!))</f>
      </c>
      <c r="F69" s="130" t="s">
        <v>646</v>
      </c>
      <c r="G69" s="170" t="e">
        <f>IF(#REF!="","",IF(OR(#REF!="Y",#REF!="Required"),#REF!,""))</f>
        <v>#REF!</v>
      </c>
    </row>
    <row r="70" spans="1:7" ht="15" customHeight="1">
      <c r="A70" s="153" t="s">
        <v>659</v>
      </c>
      <c r="B70" s="167" t="e">
        <f>IF(#REF!="","",#REF!)</f>
        <v>#REF!</v>
      </c>
      <c r="F70" s="130" t="s">
        <v>647</v>
      </c>
      <c r="G70" s="170" t="e">
        <f>IF(#REF!="","",IF(OR(#REF!="Y",#REF!="Required"),#REF!,""))</f>
        <v>#REF!</v>
      </c>
    </row>
    <row r="71" spans="1:7" ht="15" customHeight="1">
      <c r="A71" s="153" t="s">
        <v>660</v>
      </c>
      <c r="B71" s="167" t="e">
        <f>IF(#REF!="","",#REF!)</f>
        <v>#REF!</v>
      </c>
      <c r="F71" s="130" t="s">
        <v>648</v>
      </c>
      <c r="G71" s="170" t="e">
        <f>IF(#REF!="","",IF(OR(#REF!="Y",#REF!="Required"),#REF!,""))</f>
        <v>#REF!</v>
      </c>
    </row>
    <row r="72" spans="1:7" ht="15" customHeight="1">
      <c r="A72" s="153" t="s">
        <v>661</v>
      </c>
      <c r="B72" s="167" t="e">
        <f>IF(#REF!="","",#REF!)</f>
        <v>#REF!</v>
      </c>
      <c r="F72" s="130" t="s">
        <v>649</v>
      </c>
      <c r="G72" s="170" t="e">
        <f>IF(#REF!="","",IF(OR(#REF!="Y",#REF!="Required"),#REF!,""))</f>
        <v>#REF!</v>
      </c>
    </row>
    <row r="73" spans="1:7" ht="15" customHeight="1">
      <c r="A73" s="153" t="s">
        <v>662</v>
      </c>
      <c r="B73" s="167" t="e">
        <f>IF(#REF!="","",#REF!)</f>
        <v>#REF!</v>
      </c>
      <c r="F73" s="130" t="s">
        <v>650</v>
      </c>
      <c r="G73" s="170" t="e">
        <f>IF(#REF!="","",IF(OR(#REF!="Y",#REF!="Required"),#REF!,""))</f>
        <v>#REF!</v>
      </c>
    </row>
    <row r="74" spans="1:7" ht="15" customHeight="1">
      <c r="A74" s="153" t="s">
        <v>663</v>
      </c>
      <c r="B74" s="167" t="e">
        <f>IF(#REF!="","",#REF!)</f>
        <v>#REF!</v>
      </c>
      <c r="F74" s="130" t="s">
        <v>651</v>
      </c>
      <c r="G74" s="170" t="e">
        <f>IF(#REF!="","",IF(OR(#REF!="Y",#REF!="Required"),#REF!,""))</f>
        <v>#REF!</v>
      </c>
    </row>
    <row r="75" spans="1:7" ht="15" customHeight="1">
      <c r="A75" s="153" t="s">
        <v>664</v>
      </c>
      <c r="B75" s="167" t="e">
        <f>IF(#REF!="","",#REF!)</f>
        <v>#REF!</v>
      </c>
      <c r="F75" s="130" t="s">
        <v>652</v>
      </c>
      <c r="G75" s="170" t="e">
        <f>IF(#REF!="","",IF(OR(#REF!="Y",#REF!="Required"),#REF!,""))</f>
        <v>#REF!</v>
      </c>
    </row>
    <row r="76" spans="1:7" ht="15" customHeight="1">
      <c r="A76" s="153" t="s">
        <v>665</v>
      </c>
      <c r="B76" s="167" t="e">
        <f>IF(#REF!="","",#REF!)</f>
        <v>#REF!</v>
      </c>
      <c r="F76" s="130" t="s">
        <v>653</v>
      </c>
      <c r="G76" s="170" t="e">
        <f>IF(#REF!="","",IF(OR(#REF!="Y",#REF!="Required"),#REF!,""))</f>
        <v>#REF!</v>
      </c>
    </row>
    <row r="77" spans="1:7" ht="15" customHeight="1">
      <c r="A77" s="153" t="s">
        <v>666</v>
      </c>
      <c r="B77" s="167" t="e">
        <f>IF(#REF!="","",#REF!)</f>
        <v>#REF!</v>
      </c>
      <c r="F77" s="130" t="s">
        <v>654</v>
      </c>
      <c r="G77" s="170" t="e">
        <f>IF(#REF!="","",IF(OR(#REF!="Y",#REF!="Required"),#REF!,""))</f>
        <v>#REF!</v>
      </c>
    </row>
    <row r="78" spans="1:7" ht="15" customHeight="1">
      <c r="A78" s="153" t="s">
        <v>667</v>
      </c>
      <c r="B78" s="167" t="e">
        <f>IF(#REF!="","",#REF!)</f>
        <v>#REF!</v>
      </c>
      <c r="F78" s="130" t="s">
        <v>655</v>
      </c>
      <c r="G78" s="170" t="e">
        <f>IF(#REF!="","",IF(OR(#REF!="Y",#REF!="Required"),#REF!,""))</f>
        <v>#REF!</v>
      </c>
    </row>
    <row r="79" spans="1:7" ht="15" customHeight="1">
      <c r="A79" s="153" t="s">
        <v>668</v>
      </c>
      <c r="B79" s="167" t="e">
        <f>IF(#REF!="","",#REF!)</f>
        <v>#REF!</v>
      </c>
      <c r="F79" s="130" t="s">
        <v>656</v>
      </c>
      <c r="G79" s="170" t="e">
        <f>IF(#REF!="","",IF(OR(#REF!="Y",#REF!="Required"),#REF!,""))</f>
        <v>#REF!</v>
      </c>
    </row>
    <row r="80" spans="1:7" ht="15" customHeight="1">
      <c r="A80" s="153" t="s">
        <v>669</v>
      </c>
      <c r="B80" s="167" t="e">
        <f>IF(#REF!="","",#REF!)</f>
        <v>#REF!</v>
      </c>
      <c r="F80" s="130" t="s">
        <v>657</v>
      </c>
      <c r="G80" s="170" t="e">
        <f>IF(#REF!="","",IF(OR(#REF!="Y",#REF!="Required"),#REF!,""))</f>
        <v>#REF!</v>
      </c>
    </row>
    <row r="81" spans="1:7" ht="15" customHeight="1">
      <c r="A81" s="153" t="s">
        <v>670</v>
      </c>
      <c r="B81" s="167" t="e">
        <f>IF(#REF!="","",#REF!)</f>
        <v>#REF!</v>
      </c>
      <c r="F81" s="130" t="s">
        <v>658</v>
      </c>
      <c r="G81" s="170" t="e">
        <f>IF(#REF!="","",IF(OR(#REF!="Y",#REF!="Required"),#REF!,""))</f>
        <v>#REF!</v>
      </c>
    </row>
    <row r="82" spans="1:7" ht="15" customHeight="1">
      <c r="A82" s="153" t="s">
        <v>671</v>
      </c>
      <c r="B82" s="167" t="e">
        <f>IF(#REF!="","",#REF!)</f>
        <v>#REF!</v>
      </c>
      <c r="F82" s="130" t="s">
        <v>659</v>
      </c>
      <c r="G82" s="170" t="e">
        <f>IF(#REF!="","",IF(OR(#REF!="Y",#REF!="Required"),#REF!,""))</f>
        <v>#REF!</v>
      </c>
    </row>
    <row r="83" spans="1:7" ht="15" customHeight="1">
      <c r="A83" s="153" t="s">
        <v>672</v>
      </c>
      <c r="B83" s="167">
        <f>IF(C2="","",IF(#REF!="","",#REF!))</f>
      </c>
      <c r="F83" s="130" t="s">
        <v>660</v>
      </c>
      <c r="G83" s="170" t="e">
        <f>IF(#REF!="","",IF(OR(#REF!="Y",#REF!="Required"),#REF!,""))</f>
        <v>#REF!</v>
      </c>
    </row>
    <row r="84" spans="1:7" ht="15" customHeight="1">
      <c r="A84" s="153" t="s">
        <v>673</v>
      </c>
      <c r="B84" s="167" t="e">
        <f>IF(#REF!="","",#REF!)</f>
        <v>#REF!</v>
      </c>
      <c r="F84" s="130" t="s">
        <v>661</v>
      </c>
      <c r="G84" s="170" t="e">
        <f>IF(#REF!="","",IF(OR(#REF!="Y",#REF!="Required"),#REF!,""))</f>
        <v>#REF!</v>
      </c>
    </row>
    <row r="85" spans="1:7" ht="15" customHeight="1">
      <c r="A85" s="153" t="s">
        <v>674</v>
      </c>
      <c r="B85" s="167">
        <f>IF(C2="","",IF(#REF!="","",#REF!))</f>
      </c>
      <c r="F85" s="130" t="s">
        <v>662</v>
      </c>
      <c r="G85" s="170" t="e">
        <f>IF(#REF!="","",IF(OR(#REF!="Y",#REF!="Required"),#REF!,""))</f>
        <v>#REF!</v>
      </c>
    </row>
    <row r="86" spans="1:7" ht="15" customHeight="1">
      <c r="A86" s="153" t="s">
        <v>675</v>
      </c>
      <c r="B86" s="167" t="e">
        <f>IF(#REF!="","",#REF!)</f>
        <v>#REF!</v>
      </c>
      <c r="F86" s="130" t="s">
        <v>663</v>
      </c>
      <c r="G86" s="170" t="e">
        <f>IF(#REF!="","",IF(OR(#REF!="Y",#REF!="Required"),#REF!,""))</f>
        <v>#REF!</v>
      </c>
    </row>
    <row r="87" spans="1:7" ht="15" customHeight="1">
      <c r="A87" s="153" t="s">
        <v>676</v>
      </c>
      <c r="B87" s="167" t="e">
        <f>IF(#REF!="","",#REF!)</f>
        <v>#REF!</v>
      </c>
      <c r="F87" s="130" t="s">
        <v>665</v>
      </c>
      <c r="G87" s="170" t="e">
        <f>IF(#REF!="","",IF(OR(#REF!="Y",#REF!="Required"),#REF!,""))</f>
        <v>#REF!</v>
      </c>
    </row>
    <row r="88" spans="1:7" ht="15" customHeight="1">
      <c r="A88" s="153" t="s">
        <v>677</v>
      </c>
      <c r="B88" s="167" t="e">
        <f>IF(#REF!="","",#REF!)</f>
        <v>#REF!</v>
      </c>
      <c r="F88" s="130" t="s">
        <v>664</v>
      </c>
      <c r="G88" s="170" t="e">
        <f>IF(#REF!="","",IF(OR(#REF!="Y",#REF!="Required"),"",))</f>
        <v>#REF!</v>
      </c>
    </row>
    <row r="89" spans="1:7" ht="15" customHeight="1">
      <c r="A89" s="153" t="s">
        <v>678</v>
      </c>
      <c r="B89" s="167" t="e">
        <f>IF(#REF!="","",#REF!)</f>
        <v>#REF!</v>
      </c>
      <c r="F89" s="130" t="s">
        <v>666</v>
      </c>
      <c r="G89" s="170" t="e">
        <f>IF(#REF!="","",IF(OR(#REF!="Y",#REF!="Required"),#REF!,""))</f>
        <v>#REF!</v>
      </c>
    </row>
    <row r="90" spans="1:7" ht="15" customHeight="1">
      <c r="A90" s="153" t="s">
        <v>679</v>
      </c>
      <c r="B90" s="167" t="e">
        <f>IF(#REF!="","",#REF!)</f>
        <v>#REF!</v>
      </c>
      <c r="F90" s="130" t="s">
        <v>667</v>
      </c>
      <c r="G90" s="170" t="e">
        <f>IF(#REF!="","",IF(OR(#REF!="Y",#REF!="Required"),#REF!,""))</f>
        <v>#REF!</v>
      </c>
    </row>
    <row r="91" spans="1:7" ht="15" customHeight="1">
      <c r="A91" s="153" t="s">
        <v>680</v>
      </c>
      <c r="B91" s="167" t="e">
        <f>IF(#REF!="","",#REF!)</f>
        <v>#REF!</v>
      </c>
      <c r="F91" s="130" t="s">
        <v>668</v>
      </c>
      <c r="G91" s="170" t="e">
        <f>IF(#REF!="","",IF(OR(#REF!="Y",#REF!="Required"),#REF!,""))</f>
        <v>#REF!</v>
      </c>
    </row>
    <row r="92" spans="1:7" ht="15" customHeight="1">
      <c r="A92" s="153" t="s">
        <v>681</v>
      </c>
      <c r="B92" s="167" t="e">
        <f>IF(#REF!="","",#REF!)</f>
        <v>#REF!</v>
      </c>
      <c r="F92" s="130" t="s">
        <v>669</v>
      </c>
      <c r="G92" s="170" t="e">
        <f>IF(#REF!="","",IF(OR(#REF!="Y",#REF!="Required"),#REF!,""))</f>
        <v>#REF!</v>
      </c>
    </row>
    <row r="93" spans="1:7" ht="15" customHeight="1">
      <c r="A93" s="153" t="s">
        <v>682</v>
      </c>
      <c r="B93" s="167" t="e">
        <f>IF(#REF!="","",#REF!)</f>
        <v>#REF!</v>
      </c>
      <c r="F93" s="130" t="s">
        <v>670</v>
      </c>
      <c r="G93" s="170" t="e">
        <f>IF(#REF!="","",IF(OR(#REF!="Y",#REF!="Required"),#REF!,""))</f>
        <v>#REF!</v>
      </c>
    </row>
    <row r="94" spans="1:7" ht="15" customHeight="1">
      <c r="A94" s="153" t="s">
        <v>683</v>
      </c>
      <c r="B94" s="167" t="e">
        <f>IF(#REF!="","",#REF!)</f>
        <v>#REF!</v>
      </c>
      <c r="F94" s="130" t="s">
        <v>671</v>
      </c>
      <c r="G94" s="170" t="e">
        <f>IF(#REF!="","",IF(OR(#REF!="Y",#REF!="Required"),#REF!,""))</f>
        <v>#REF!</v>
      </c>
    </row>
    <row r="95" spans="1:7" ht="15" customHeight="1">
      <c r="A95" s="155" t="s">
        <v>539</v>
      </c>
      <c r="B95" s="169" t="e">
        <f>IF(AND(C2="Y",#REF!&gt;0),#REF!,"")</f>
        <v>#REF!</v>
      </c>
      <c r="F95" s="130" t="s">
        <v>672</v>
      </c>
      <c r="G95" s="170" t="e">
        <f>IF(#REF!="","",IF(OR(#REF!="Y",#REF!="Required"),#REF!,""))</f>
        <v>#REF!</v>
      </c>
    </row>
    <row r="96" spans="1:7" ht="15" customHeight="1">
      <c r="A96" s="154" t="s">
        <v>540</v>
      </c>
      <c r="B96" s="168" t="e">
        <f>IF(AND(#REF!&lt;&gt;#REF!,C2="Y"),MIN(#REF!,#REF!),"")</f>
        <v>#REF!</v>
      </c>
      <c r="F96" s="130" t="s">
        <v>673</v>
      </c>
      <c r="G96" s="170" t="e">
        <f>IF(#REF!="","",IF(OR(#REF!="Y",#REF!="Required"),#REF!,""))</f>
        <v>#REF!</v>
      </c>
    </row>
    <row r="97" spans="1:7" ht="15" customHeight="1">
      <c r="A97" s="154" t="s">
        <v>541</v>
      </c>
      <c r="B97" s="168" t="e">
        <f>IF(#REF!=0,"",#REF!)</f>
        <v>#REF!</v>
      </c>
      <c r="F97" s="130" t="s">
        <v>674</v>
      </c>
      <c r="G97" s="170" t="e">
        <f>IF(#REF!="","",IF(OR(#REF!="Y",#REF!="Required"),#REF!,""))</f>
        <v>#REF!</v>
      </c>
    </row>
    <row r="98" spans="1:7" ht="15" customHeight="1">
      <c r="A98" s="154" t="s">
        <v>542</v>
      </c>
      <c r="B98" s="168" t="e">
        <f>IF(#REF!=0,"",#REF!)</f>
        <v>#REF!</v>
      </c>
      <c r="F98" s="130" t="s">
        <v>675</v>
      </c>
      <c r="G98" s="170" t="e">
        <f>IF(#REF!="","",IF(OR(#REF!="Y",#REF!="Required"),#REF!,""))</f>
        <v>#REF!</v>
      </c>
    </row>
    <row r="99" spans="1:7" ht="15" customHeight="1">
      <c r="A99" s="154" t="s">
        <v>543</v>
      </c>
      <c r="B99" s="167" t="e">
        <f>IF(#REF!=0,"",#REF!)</f>
        <v>#REF!</v>
      </c>
      <c r="F99" s="130" t="s">
        <v>676</v>
      </c>
      <c r="G99" s="170" t="e">
        <f>IF(#REF!="","",IF(OR(#REF!="Y",#REF!="Required"),#REF!,""))</f>
        <v>#REF!</v>
      </c>
    </row>
    <row r="100" spans="1:7" ht="15" customHeight="1">
      <c r="A100" s="154" t="s">
        <v>544</v>
      </c>
      <c r="B100" s="167" t="e">
        <f>IF(#REF!=0,"",#REF!)</f>
        <v>#REF!</v>
      </c>
      <c r="F100" s="130" t="s">
        <v>677</v>
      </c>
      <c r="G100" s="170" t="e">
        <f>IF(#REF!="","",IF(OR(#REF!="Y",#REF!="Required"),#REF!,""))</f>
        <v>#REF!</v>
      </c>
    </row>
    <row r="101" spans="1:7" ht="15" customHeight="1">
      <c r="A101" s="154" t="s">
        <v>545</v>
      </c>
      <c r="B101" s="167"/>
      <c r="F101" s="130" t="s">
        <v>539</v>
      </c>
      <c r="G101" s="165" t="e">
        <f>IF(#REF!=0,"",IF(#REF!="Required",#REF!,""))</f>
        <v>#REF!</v>
      </c>
    </row>
    <row r="102" spans="1:7" ht="15" customHeight="1">
      <c r="A102" s="154" t="s">
        <v>546</v>
      </c>
      <c r="B102" s="164" t="e">
        <f>IF(#REF!="","",#REF!)</f>
        <v>#REF!</v>
      </c>
      <c r="F102" s="160" t="s">
        <v>712</v>
      </c>
      <c r="G102" s="165" t="e">
        <f>IF(#REF!=0,"",IF(#REF!="Required",#REF!,""))</f>
        <v>#REF!</v>
      </c>
    </row>
    <row r="103" spans="1:7" ht="15" customHeight="1">
      <c r="A103" s="178" t="s">
        <v>733</v>
      </c>
      <c r="B103" s="179" t="e">
        <f>IF(#REF!=0,"",IF(#REF!=0,"",#REF!))</f>
        <v>#REF!</v>
      </c>
      <c r="F103" s="130" t="s">
        <v>540</v>
      </c>
      <c r="G103" s="165" t="e">
        <f>IF(AND(#REF!="Required",#REF!&lt;&gt;#REF!),MIN(#REF!,#REF!),"")</f>
        <v>#REF!</v>
      </c>
    </row>
    <row r="104" spans="1:7" ht="15" customHeight="1">
      <c r="A104" s="178" t="s">
        <v>734</v>
      </c>
      <c r="B104" s="179" t="e">
        <f>IF(#REF!=0,"",#REF!)</f>
        <v>#REF!</v>
      </c>
      <c r="F104" s="130" t="s">
        <v>713</v>
      </c>
      <c r="G104" s="165" t="e">
        <f>IF(#REF!=0,"",IF(AND(#REF!="Required",#REF!&lt;0),#REF!,""))</f>
        <v>#REF!</v>
      </c>
    </row>
    <row r="105" spans="1:7" ht="15" customHeight="1">
      <c r="A105" s="178" t="s">
        <v>735</v>
      </c>
      <c r="B105" s="180" t="e">
        <f>IF(#REF!=0,"",IF(#REF!=0,"",#REF!))</f>
        <v>#REF!</v>
      </c>
      <c r="F105" s="130" t="s">
        <v>541</v>
      </c>
      <c r="G105" s="165" t="e">
        <f>IF(#REF!=0,"",(IF(AND(#REF!="Required",#REF!&lt;&gt;0),#REF!,"")))</f>
        <v>#REF!</v>
      </c>
    </row>
    <row r="106" spans="1:7" ht="15" customHeight="1">
      <c r="A106" s="178" t="s">
        <v>736</v>
      </c>
      <c r="B106" s="179" t="e">
        <f>IF(#REF!=0,"",#REF!)</f>
        <v>#REF!</v>
      </c>
      <c r="F106" s="130" t="s">
        <v>542</v>
      </c>
      <c r="G106" s="165" t="e">
        <f>IF(#REF!=0,"",IF(OR(#REF!="Required",#REF!="Y"),#REF!,""))</f>
        <v>#REF!</v>
      </c>
    </row>
    <row r="107" spans="1:7" ht="15" customHeight="1">
      <c r="A107" s="178" t="s">
        <v>737</v>
      </c>
      <c r="B107" s="181" t="e">
        <f>IF(#REF!=0,"",#REF!)</f>
        <v>#REF!</v>
      </c>
      <c r="F107" s="130" t="s">
        <v>546</v>
      </c>
      <c r="G107" s="165" t="e">
        <f>IF(#REF!="","",IF(OR(#REF!="Required",#REF!="Y"),#REF!,""))</f>
        <v>#REF!</v>
      </c>
    </row>
    <row r="108" spans="1:7" ht="15" customHeight="1">
      <c r="A108" s="178" t="s">
        <v>738</v>
      </c>
      <c r="B108" s="181" t="e">
        <f>#REF!</f>
        <v>#REF!</v>
      </c>
      <c r="F108" s="118"/>
      <c r="G108" s="146"/>
    </row>
    <row r="109" spans="1:2" ht="15" customHeight="1">
      <c r="A109" s="178" t="s">
        <v>739</v>
      </c>
      <c r="B109" s="181" t="e">
        <f>IF(#REF!=0,"",#REF!)</f>
        <v>#REF!</v>
      </c>
    </row>
    <row r="110" spans="1:2" ht="15" customHeight="1">
      <c r="A110" s="178" t="s">
        <v>740</v>
      </c>
      <c r="B110" s="181" t="e">
        <f>IF(#REF!=0,"",#REF!)</f>
        <v>#REF!</v>
      </c>
    </row>
    <row r="111" spans="1:2" ht="15" customHeight="1">
      <c r="A111" s="178" t="s">
        <v>741</v>
      </c>
      <c r="B111" s="181" t="e">
        <f>IF(#REF!="","",#REF!)</f>
        <v>#REF!</v>
      </c>
    </row>
    <row r="112" spans="1:2" ht="15" customHeight="1">
      <c r="A112" s="178" t="s">
        <v>742</v>
      </c>
      <c r="B112" s="182" t="e">
        <f>IF(#REF!="","",#REF!)</f>
        <v>#REF!</v>
      </c>
    </row>
    <row r="113" spans="1:2" ht="15" customHeight="1">
      <c r="A113" s="178" t="s">
        <v>743</v>
      </c>
      <c r="B113" s="179" t="e">
        <f>IF(#REF!="","",#REF!)</f>
        <v>#REF!</v>
      </c>
    </row>
    <row r="114" spans="1:2" ht="15" customHeight="1">
      <c r="A114" s="178" t="s">
        <v>744</v>
      </c>
      <c r="B114" s="179" t="e">
        <f>IF(#REF!="","",#REF!)</f>
        <v>#REF!</v>
      </c>
    </row>
    <row r="115" spans="1:2" ht="15" customHeight="1">
      <c r="A115" s="178">
        <v>40</v>
      </c>
      <c r="B115" s="179" t="e">
        <f>#REF!</f>
        <v>#REF!</v>
      </c>
    </row>
    <row r="116" spans="1:2" ht="15" customHeight="1">
      <c r="A116" s="178">
        <v>41</v>
      </c>
      <c r="B116" s="179" t="e">
        <f>IF(#REF!="","",#REF!)</f>
        <v>#REF!</v>
      </c>
    </row>
    <row r="117" spans="1:2" ht="15" customHeight="1">
      <c r="A117" s="178" t="s">
        <v>745</v>
      </c>
      <c r="B117" s="179" t="e">
        <f>#REF!</f>
        <v>#REF!</v>
      </c>
    </row>
    <row r="118" spans="1:2" ht="15" customHeight="1">
      <c r="A118" s="178" t="s">
        <v>746</v>
      </c>
      <c r="B118" s="179" t="e">
        <f>#REF!</f>
        <v>#REF!</v>
      </c>
    </row>
    <row r="119" spans="1:2" ht="15" customHeight="1">
      <c r="A119" s="178" t="s">
        <v>747</v>
      </c>
      <c r="B119" s="179" t="e">
        <f>IF(#REF!="","",#REF!)</f>
        <v>#REF!</v>
      </c>
    </row>
    <row r="120" spans="1:2" ht="15" customHeight="1">
      <c r="A120" s="178" t="s">
        <v>748</v>
      </c>
      <c r="B120" s="179" t="e">
        <f>IF(#REF!=0,"",#REF!)</f>
        <v>#REF!</v>
      </c>
    </row>
    <row r="121" spans="1:2" ht="15" customHeight="1">
      <c r="A121" s="178" t="s">
        <v>749</v>
      </c>
      <c r="B121" s="179" t="e">
        <f>IF(#REF!=0,"",#REF!)</f>
        <v>#REF!</v>
      </c>
    </row>
    <row r="122" spans="1:2" ht="15" customHeight="1">
      <c r="A122" s="178" t="s">
        <v>750</v>
      </c>
      <c r="B122" s="179" t="e">
        <f>#REF!</f>
        <v>#REF!</v>
      </c>
    </row>
    <row r="123" spans="1:2" ht="15" customHeight="1">
      <c r="A123" s="178" t="s">
        <v>751</v>
      </c>
      <c r="B123" s="179" t="e">
        <f>#REF!</f>
        <v>#REF!</v>
      </c>
    </row>
    <row r="124" spans="1:2" ht="15" customHeight="1">
      <c r="A124" s="178" t="s">
        <v>752</v>
      </c>
      <c r="B124" s="179" t="e">
        <f>#REF!</f>
        <v>#REF!</v>
      </c>
    </row>
    <row r="125" spans="1:2" ht="15" customHeight="1">
      <c r="A125" s="178" t="s">
        <v>753</v>
      </c>
      <c r="B125" s="179" t="e">
        <f>#REF!</f>
        <v>#REF!</v>
      </c>
    </row>
    <row r="126" spans="1:2" ht="15" customHeight="1">
      <c r="A126" s="178" t="s">
        <v>754</v>
      </c>
      <c r="B126" s="179" t="e">
        <f>#REF!</f>
        <v>#REF!</v>
      </c>
    </row>
    <row r="127" spans="1:2" ht="15" customHeight="1">
      <c r="A127" s="178">
        <v>68</v>
      </c>
      <c r="B127" s="179" t="e">
        <f>#REF!</f>
        <v>#REF!</v>
      </c>
    </row>
    <row r="128" spans="1:2" ht="15" customHeight="1">
      <c r="A128" s="178">
        <v>69</v>
      </c>
      <c r="B128" s="179" t="e">
        <f>#REF!</f>
        <v>#REF!</v>
      </c>
    </row>
    <row r="129" spans="1:2" ht="15" customHeight="1">
      <c r="A129" s="178" t="s">
        <v>755</v>
      </c>
      <c r="B129" s="179" t="e">
        <f>#REF!</f>
        <v>#REF!</v>
      </c>
    </row>
    <row r="130" spans="1:2" ht="15" customHeight="1">
      <c r="A130" s="178" t="s">
        <v>756</v>
      </c>
      <c r="B130" s="179" t="e">
        <f>IF(#REF!="","",#REF!)</f>
        <v>#REF!</v>
      </c>
    </row>
    <row r="131" spans="1:2" ht="15" customHeight="1">
      <c r="A131" s="178" t="s">
        <v>757</v>
      </c>
      <c r="B131" s="179" t="e">
        <f>IF(#REF!="","",#REF!)</f>
        <v>#REF!</v>
      </c>
    </row>
    <row r="132" spans="1:2" ht="15" customHeight="1">
      <c r="A132" s="178" t="s">
        <v>758</v>
      </c>
      <c r="B132" s="179" t="e">
        <f>#REF!</f>
        <v>#REF!</v>
      </c>
    </row>
    <row r="133" spans="1:2" ht="15" customHeight="1">
      <c r="A133" s="183" t="s">
        <v>546</v>
      </c>
      <c r="B133" s="118" t="e">
        <f>IF(#REF!="","",#REF!)</f>
        <v>#REF!</v>
      </c>
    </row>
    <row r="134" ht="15" customHeight="1">
      <c r="A134" s="177"/>
    </row>
    <row r="135" ht="12.75">
      <c r="A135" s="177"/>
    </row>
    <row r="136" ht="12.75">
      <c r="A136" s="177"/>
    </row>
    <row r="137" ht="12.75">
      <c r="A137" s="177"/>
    </row>
  </sheetData>
  <sheetProtection password="CFA3" sheet="1" selectLockedCells="1"/>
  <printOptions/>
  <pageMargins left="0.7" right="0.7" top="0.75" bottom="0.75" header="0.3" footer="0.3"/>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T72"/>
  <sheetViews>
    <sheetView zoomScalePageLayoutView="0" workbookViewId="0" topLeftCell="A1">
      <selection activeCell="C5" sqref="C5"/>
    </sheetView>
  </sheetViews>
  <sheetFormatPr defaultColWidth="9.140625" defaultRowHeight="12.75"/>
  <cols>
    <col min="16" max="16" width="12.140625" style="0" customWidth="1"/>
    <col min="19" max="19" width="11.28125" style="0" customWidth="1"/>
  </cols>
  <sheetData>
    <row r="1" spans="1:20" ht="31.5">
      <c r="A1" s="443" t="s">
        <v>798</v>
      </c>
      <c r="B1" s="129"/>
      <c r="C1" s="129"/>
      <c r="D1" s="129"/>
      <c r="E1" s="129"/>
      <c r="F1" s="129"/>
      <c r="G1" s="563" t="str">
        <f>CONCATENATE(Input!C4," ",Input!C5," ",Input!C6)</f>
        <v>  </v>
      </c>
      <c r="H1" s="564"/>
      <c r="I1" s="564"/>
      <c r="J1" s="564"/>
      <c r="K1" s="564"/>
      <c r="L1" s="564"/>
      <c r="M1" s="564"/>
      <c r="N1" s="129"/>
      <c r="O1" s="129"/>
      <c r="P1" s="129"/>
      <c r="Q1" s="129"/>
      <c r="R1" s="129"/>
      <c r="S1" s="129"/>
      <c r="T1" s="129"/>
    </row>
    <row r="2" spans="1:20" ht="13.5" thickBot="1">
      <c r="A2" s="402"/>
      <c r="B2" s="129"/>
      <c r="C2" s="129"/>
      <c r="D2" s="129"/>
      <c r="E2" s="129"/>
      <c r="F2" s="129"/>
      <c r="G2" s="129"/>
      <c r="H2" s="129"/>
      <c r="I2" s="129"/>
      <c r="J2" s="129"/>
      <c r="K2" s="129"/>
      <c r="L2" s="129"/>
      <c r="M2" s="129"/>
      <c r="N2" s="129"/>
      <c r="O2" s="129"/>
      <c r="P2" s="129"/>
      <c r="Q2" s="129"/>
      <c r="R2" s="129"/>
      <c r="S2" s="129"/>
      <c r="T2" s="129"/>
    </row>
    <row r="3" spans="1:20" ht="15">
      <c r="A3" s="129"/>
      <c r="B3" s="129"/>
      <c r="C3" s="565" t="s">
        <v>799</v>
      </c>
      <c r="D3" s="566"/>
      <c r="E3" s="566"/>
      <c r="F3" s="565" t="s">
        <v>800</v>
      </c>
      <c r="G3" s="565"/>
      <c r="H3" s="566"/>
      <c r="I3" s="565" t="s">
        <v>801</v>
      </c>
      <c r="J3" s="565"/>
      <c r="K3" s="566"/>
      <c r="L3" s="565" t="s">
        <v>802</v>
      </c>
      <c r="M3" s="566"/>
      <c r="N3" s="566"/>
      <c r="O3" s="401" t="s">
        <v>14</v>
      </c>
      <c r="P3" s="401" t="s">
        <v>803</v>
      </c>
      <c r="Q3" s="401" t="s">
        <v>804</v>
      </c>
      <c r="R3" s="129"/>
      <c r="S3" s="559" t="s">
        <v>188</v>
      </c>
      <c r="T3" s="560"/>
    </row>
    <row r="4" spans="1:20" ht="15.75" thickBot="1">
      <c r="A4" s="129"/>
      <c r="B4" s="129"/>
      <c r="C4" s="401" t="s">
        <v>11</v>
      </c>
      <c r="D4" s="401" t="s">
        <v>378</v>
      </c>
      <c r="E4" s="401" t="s">
        <v>805</v>
      </c>
      <c r="F4" s="401" t="s">
        <v>11</v>
      </c>
      <c r="G4" s="401" t="s">
        <v>378</v>
      </c>
      <c r="H4" s="401" t="s">
        <v>805</v>
      </c>
      <c r="I4" s="401" t="s">
        <v>11</v>
      </c>
      <c r="J4" s="401" t="s">
        <v>378</v>
      </c>
      <c r="K4" s="401" t="s">
        <v>805</v>
      </c>
      <c r="L4" s="401" t="s">
        <v>11</v>
      </c>
      <c r="M4" s="401" t="s">
        <v>378</v>
      </c>
      <c r="N4" s="401" t="s">
        <v>805</v>
      </c>
      <c r="O4" s="401" t="s">
        <v>805</v>
      </c>
      <c r="P4" s="129"/>
      <c r="Q4" s="401" t="s">
        <v>806</v>
      </c>
      <c r="R4" s="129"/>
      <c r="S4" s="46">
        <v>1</v>
      </c>
      <c r="T4" s="403" t="e">
        <f aca="true" t="shared" si="0" ref="T4:T13">LARGE(Q$5:Q$55,S4)</f>
        <v>#NUM!</v>
      </c>
    </row>
    <row r="5" spans="1:20" ht="12.75">
      <c r="A5" s="561" t="s">
        <v>869</v>
      </c>
      <c r="B5" s="445">
        <v>1967</v>
      </c>
      <c r="C5" s="477"/>
      <c r="D5" s="477"/>
      <c r="E5" s="444">
        <f aca="true" t="shared" si="1" ref="E5:E36">LOOKUP(C5,months)+LOOKUP(D5,Hours)</f>
        <v>0</v>
      </c>
      <c r="F5" s="477"/>
      <c r="G5" s="477"/>
      <c r="H5" s="444">
        <f aca="true" t="shared" si="2" ref="H5:H36">LOOKUP(F5,months)+LOOKUP(G5,Hours)</f>
        <v>0</v>
      </c>
      <c r="I5" s="477"/>
      <c r="J5" s="477"/>
      <c r="K5" s="444">
        <f aca="true" t="shared" si="3" ref="K5:K36">LOOKUP(I5,months)+LOOKUP(J5,Hours)</f>
        <v>0</v>
      </c>
      <c r="L5" s="477"/>
      <c r="M5" s="477"/>
      <c r="N5" s="444">
        <f aca="true" t="shared" si="4" ref="N5:N36">LOOKUP(L5,months)+LOOKUP(M5,Hours)</f>
        <v>0</v>
      </c>
      <c r="O5" s="444">
        <f>MIN(1,E5+H5+K5+N5)</f>
        <v>0</v>
      </c>
      <c r="P5" s="444">
        <f>O5</f>
        <v>0</v>
      </c>
      <c r="Q5" s="478"/>
      <c r="R5" s="129"/>
      <c r="S5" s="46">
        <v>2</v>
      </c>
      <c r="T5" s="403" t="e">
        <f t="shared" si="0"/>
        <v>#NUM!</v>
      </c>
    </row>
    <row r="6" spans="1:20" ht="12.75">
      <c r="A6" s="562"/>
      <c r="B6" s="446">
        <f aca="true" t="shared" si="5" ref="B6:B51">+B5+1</f>
        <v>1968</v>
      </c>
      <c r="C6" s="477"/>
      <c r="D6" s="477"/>
      <c r="E6" s="444">
        <f t="shared" si="1"/>
        <v>0</v>
      </c>
      <c r="F6" s="477"/>
      <c r="G6" s="477"/>
      <c r="H6" s="444">
        <f t="shared" si="2"/>
        <v>0</v>
      </c>
      <c r="I6" s="477"/>
      <c r="J6" s="477"/>
      <c r="K6" s="444">
        <f t="shared" si="3"/>
        <v>0</v>
      </c>
      <c r="L6" s="477"/>
      <c r="M6" s="477"/>
      <c r="N6" s="444">
        <f t="shared" si="4"/>
        <v>0</v>
      </c>
      <c r="O6" s="444">
        <f>MIN(1,E6+H6+K6+N6)</f>
        <v>0</v>
      </c>
      <c r="P6" s="450">
        <f>P5+O6</f>
        <v>0</v>
      </c>
      <c r="Q6" s="478"/>
      <c r="R6" s="129"/>
      <c r="S6" s="46">
        <v>3</v>
      </c>
      <c r="T6" s="403" t="e">
        <f t="shared" si="0"/>
        <v>#NUM!</v>
      </c>
    </row>
    <row r="7" spans="1:20" ht="12.75">
      <c r="A7" s="562"/>
      <c r="B7" s="446">
        <f t="shared" si="5"/>
        <v>1969</v>
      </c>
      <c r="C7" s="477"/>
      <c r="D7" s="477"/>
      <c r="E7" s="444">
        <f t="shared" si="1"/>
        <v>0</v>
      </c>
      <c r="F7" s="477"/>
      <c r="G7" s="477"/>
      <c r="H7" s="444">
        <f t="shared" si="2"/>
        <v>0</v>
      </c>
      <c r="I7" s="477"/>
      <c r="J7" s="477"/>
      <c r="K7" s="444">
        <f t="shared" si="3"/>
        <v>0</v>
      </c>
      <c r="L7" s="477"/>
      <c r="M7" s="477"/>
      <c r="N7" s="444">
        <f t="shared" si="4"/>
        <v>0</v>
      </c>
      <c r="O7" s="444">
        <f aca="true" t="shared" si="6" ref="O7:O56">MIN(1,E7+H7+K7+N7)</f>
        <v>0</v>
      </c>
      <c r="P7" s="450">
        <f aca="true" t="shared" si="7" ref="P7:P55">P6+O7</f>
        <v>0</v>
      </c>
      <c r="Q7" s="478"/>
      <c r="R7" s="129"/>
      <c r="S7" s="46">
        <v>4</v>
      </c>
      <c r="T7" s="403" t="e">
        <f t="shared" si="0"/>
        <v>#NUM!</v>
      </c>
    </row>
    <row r="8" spans="1:20" ht="12.75">
      <c r="A8" s="562"/>
      <c r="B8" s="446">
        <f t="shared" si="5"/>
        <v>1970</v>
      </c>
      <c r="C8" s="477"/>
      <c r="D8" s="477"/>
      <c r="E8" s="444">
        <f t="shared" si="1"/>
        <v>0</v>
      </c>
      <c r="F8" s="477"/>
      <c r="G8" s="477"/>
      <c r="H8" s="444">
        <f t="shared" si="2"/>
        <v>0</v>
      </c>
      <c r="I8" s="477"/>
      <c r="J8" s="477"/>
      <c r="K8" s="444">
        <f t="shared" si="3"/>
        <v>0</v>
      </c>
      <c r="L8" s="477"/>
      <c r="M8" s="477"/>
      <c r="N8" s="444">
        <f t="shared" si="4"/>
        <v>0</v>
      </c>
      <c r="O8" s="444">
        <f t="shared" si="6"/>
        <v>0</v>
      </c>
      <c r="P8" s="450">
        <f t="shared" si="7"/>
        <v>0</v>
      </c>
      <c r="Q8" s="478"/>
      <c r="R8" s="129"/>
      <c r="S8" s="46">
        <v>5</v>
      </c>
      <c r="T8" s="403" t="e">
        <f t="shared" si="0"/>
        <v>#NUM!</v>
      </c>
    </row>
    <row r="9" spans="1:20" ht="12.75">
      <c r="A9" s="562"/>
      <c r="B9" s="446">
        <f t="shared" si="5"/>
        <v>1971</v>
      </c>
      <c r="C9" s="477"/>
      <c r="D9" s="477"/>
      <c r="E9" s="444">
        <f t="shared" si="1"/>
        <v>0</v>
      </c>
      <c r="F9" s="477"/>
      <c r="G9" s="477"/>
      <c r="H9" s="444">
        <f t="shared" si="2"/>
        <v>0</v>
      </c>
      <c r="I9" s="477"/>
      <c r="J9" s="477"/>
      <c r="K9" s="444">
        <f t="shared" si="3"/>
        <v>0</v>
      </c>
      <c r="L9" s="477"/>
      <c r="M9" s="477"/>
      <c r="N9" s="444">
        <f t="shared" si="4"/>
        <v>0</v>
      </c>
      <c r="O9" s="444">
        <f t="shared" si="6"/>
        <v>0</v>
      </c>
      <c r="P9" s="450">
        <f t="shared" si="7"/>
        <v>0</v>
      </c>
      <c r="Q9" s="478"/>
      <c r="R9" s="129"/>
      <c r="S9" s="46">
        <v>6</v>
      </c>
      <c r="T9" s="403" t="e">
        <f t="shared" si="0"/>
        <v>#NUM!</v>
      </c>
    </row>
    <row r="10" spans="1:20" ht="12.75">
      <c r="A10" s="562"/>
      <c r="B10" s="446">
        <f t="shared" si="5"/>
        <v>1972</v>
      </c>
      <c r="C10" s="477"/>
      <c r="D10" s="477"/>
      <c r="E10" s="444">
        <f t="shared" si="1"/>
        <v>0</v>
      </c>
      <c r="F10" s="477"/>
      <c r="G10" s="477"/>
      <c r="H10" s="444">
        <f t="shared" si="2"/>
        <v>0</v>
      </c>
      <c r="I10" s="477"/>
      <c r="J10" s="477"/>
      <c r="K10" s="444">
        <f t="shared" si="3"/>
        <v>0</v>
      </c>
      <c r="L10" s="477"/>
      <c r="M10" s="477"/>
      <c r="N10" s="444">
        <f t="shared" si="4"/>
        <v>0</v>
      </c>
      <c r="O10" s="444">
        <f t="shared" si="6"/>
        <v>0</v>
      </c>
      <c r="P10" s="450">
        <f t="shared" si="7"/>
        <v>0</v>
      </c>
      <c r="Q10" s="478"/>
      <c r="R10" s="129"/>
      <c r="S10" s="46">
        <v>7</v>
      </c>
      <c r="T10" s="403" t="e">
        <f t="shared" si="0"/>
        <v>#NUM!</v>
      </c>
    </row>
    <row r="11" spans="1:20" ht="12.75">
      <c r="A11" s="562"/>
      <c r="B11" s="446">
        <f t="shared" si="5"/>
        <v>1973</v>
      </c>
      <c r="C11" s="477"/>
      <c r="D11" s="477"/>
      <c r="E11" s="444">
        <f t="shared" si="1"/>
        <v>0</v>
      </c>
      <c r="F11" s="477"/>
      <c r="G11" s="477"/>
      <c r="H11" s="444">
        <f t="shared" si="2"/>
        <v>0</v>
      </c>
      <c r="I11" s="477"/>
      <c r="J11" s="477"/>
      <c r="K11" s="444">
        <f t="shared" si="3"/>
        <v>0</v>
      </c>
      <c r="L11" s="477"/>
      <c r="M11" s="477"/>
      <c r="N11" s="444">
        <f t="shared" si="4"/>
        <v>0</v>
      </c>
      <c r="O11" s="444">
        <f t="shared" si="6"/>
        <v>0</v>
      </c>
      <c r="P11" s="450">
        <f t="shared" si="7"/>
        <v>0</v>
      </c>
      <c r="Q11" s="478"/>
      <c r="R11" s="129"/>
      <c r="S11" s="46">
        <v>8</v>
      </c>
      <c r="T11" s="403" t="e">
        <f t="shared" si="0"/>
        <v>#NUM!</v>
      </c>
    </row>
    <row r="12" spans="1:20" ht="12.75">
      <c r="A12" s="562"/>
      <c r="B12" s="446">
        <f t="shared" si="5"/>
        <v>1974</v>
      </c>
      <c r="C12" s="477"/>
      <c r="D12" s="477"/>
      <c r="E12" s="444">
        <f t="shared" si="1"/>
        <v>0</v>
      </c>
      <c r="F12" s="477"/>
      <c r="G12" s="477"/>
      <c r="H12" s="444">
        <f t="shared" si="2"/>
        <v>0</v>
      </c>
      <c r="I12" s="477"/>
      <c r="J12" s="477"/>
      <c r="K12" s="444">
        <f t="shared" si="3"/>
        <v>0</v>
      </c>
      <c r="L12" s="477"/>
      <c r="M12" s="477"/>
      <c r="N12" s="444">
        <f t="shared" si="4"/>
        <v>0</v>
      </c>
      <c r="O12" s="444">
        <f t="shared" si="6"/>
        <v>0</v>
      </c>
      <c r="P12" s="450">
        <f t="shared" si="7"/>
        <v>0</v>
      </c>
      <c r="Q12" s="478"/>
      <c r="R12" s="129"/>
      <c r="S12" s="46">
        <v>9</v>
      </c>
      <c r="T12" s="403" t="e">
        <f t="shared" si="0"/>
        <v>#NUM!</v>
      </c>
    </row>
    <row r="13" spans="1:20" ht="12.75">
      <c r="A13" s="562"/>
      <c r="B13" s="446">
        <f t="shared" si="5"/>
        <v>1975</v>
      </c>
      <c r="C13" s="477"/>
      <c r="D13" s="477"/>
      <c r="E13" s="444">
        <f t="shared" si="1"/>
        <v>0</v>
      </c>
      <c r="F13" s="477"/>
      <c r="G13" s="477"/>
      <c r="H13" s="444">
        <f t="shared" si="2"/>
        <v>0</v>
      </c>
      <c r="I13" s="477"/>
      <c r="J13" s="477"/>
      <c r="K13" s="444">
        <f t="shared" si="3"/>
        <v>0</v>
      </c>
      <c r="L13" s="477"/>
      <c r="M13" s="477"/>
      <c r="N13" s="444">
        <f t="shared" si="4"/>
        <v>0</v>
      </c>
      <c r="O13" s="444">
        <f t="shared" si="6"/>
        <v>0</v>
      </c>
      <c r="P13" s="450">
        <f t="shared" si="7"/>
        <v>0</v>
      </c>
      <c r="Q13" s="478"/>
      <c r="R13" s="129"/>
      <c r="S13" s="46">
        <v>10</v>
      </c>
      <c r="T13" s="403" t="e">
        <f t="shared" si="0"/>
        <v>#NUM!</v>
      </c>
    </row>
    <row r="14" spans="1:20" ht="13.5" thickBot="1">
      <c r="A14" s="562"/>
      <c r="B14" s="446">
        <f t="shared" si="5"/>
        <v>1976</v>
      </c>
      <c r="C14" s="477"/>
      <c r="D14" s="477"/>
      <c r="E14" s="444">
        <f t="shared" si="1"/>
        <v>0</v>
      </c>
      <c r="F14" s="477"/>
      <c r="G14" s="477"/>
      <c r="H14" s="444">
        <f t="shared" si="2"/>
        <v>0</v>
      </c>
      <c r="I14" s="477"/>
      <c r="J14" s="477"/>
      <c r="K14" s="444">
        <f t="shared" si="3"/>
        <v>0</v>
      </c>
      <c r="L14" s="477"/>
      <c r="M14" s="477"/>
      <c r="N14" s="444">
        <f t="shared" si="4"/>
        <v>0</v>
      </c>
      <c r="O14" s="444">
        <f t="shared" si="6"/>
        <v>0</v>
      </c>
      <c r="P14" s="450">
        <f t="shared" si="7"/>
        <v>0</v>
      </c>
      <c r="Q14" s="478"/>
      <c r="R14" s="129"/>
      <c r="S14" s="104" t="s">
        <v>191</v>
      </c>
      <c r="T14" s="404" t="e">
        <f>AVERAGE(T4:T13)</f>
        <v>#NUM!</v>
      </c>
    </row>
    <row r="15" spans="1:20" ht="12.75">
      <c r="A15" s="562"/>
      <c r="B15" s="446">
        <f t="shared" si="5"/>
        <v>1977</v>
      </c>
      <c r="C15" s="477"/>
      <c r="D15" s="477"/>
      <c r="E15" s="444">
        <f t="shared" si="1"/>
        <v>0</v>
      </c>
      <c r="F15" s="477"/>
      <c r="G15" s="477"/>
      <c r="H15" s="444">
        <f t="shared" si="2"/>
        <v>0</v>
      </c>
      <c r="I15" s="477"/>
      <c r="J15" s="477"/>
      <c r="K15" s="444">
        <f t="shared" si="3"/>
        <v>0</v>
      </c>
      <c r="L15" s="477"/>
      <c r="M15" s="477"/>
      <c r="N15" s="444">
        <f t="shared" si="4"/>
        <v>0</v>
      </c>
      <c r="O15" s="444">
        <f t="shared" si="6"/>
        <v>0</v>
      </c>
      <c r="P15" s="450">
        <f t="shared" si="7"/>
        <v>0</v>
      </c>
      <c r="Q15" s="478"/>
      <c r="R15" s="129"/>
      <c r="S15" s="46"/>
      <c r="T15" s="105"/>
    </row>
    <row r="16" spans="1:20" ht="12.75">
      <c r="A16" s="562"/>
      <c r="B16" s="446">
        <f t="shared" si="5"/>
        <v>1978</v>
      </c>
      <c r="C16" s="477"/>
      <c r="D16" s="477"/>
      <c r="E16" s="444">
        <f t="shared" si="1"/>
        <v>0</v>
      </c>
      <c r="F16" s="477"/>
      <c r="G16" s="477"/>
      <c r="H16" s="444">
        <f t="shared" si="2"/>
        <v>0</v>
      </c>
      <c r="I16" s="477"/>
      <c r="J16" s="477"/>
      <c r="K16" s="444">
        <f t="shared" si="3"/>
        <v>0</v>
      </c>
      <c r="L16" s="477"/>
      <c r="M16" s="477"/>
      <c r="N16" s="444">
        <f t="shared" si="4"/>
        <v>0</v>
      </c>
      <c r="O16" s="444">
        <f t="shared" si="6"/>
        <v>0</v>
      </c>
      <c r="P16" s="450">
        <f t="shared" si="7"/>
        <v>0</v>
      </c>
      <c r="Q16" s="478"/>
      <c r="R16" s="129"/>
      <c r="S16" s="46"/>
      <c r="T16" s="105"/>
    </row>
    <row r="17" spans="1:20" ht="13.5" thickBot="1">
      <c r="A17" s="562"/>
      <c r="B17" s="446">
        <f t="shared" si="5"/>
        <v>1979</v>
      </c>
      <c r="C17" s="477"/>
      <c r="D17" s="477"/>
      <c r="E17" s="444">
        <f t="shared" si="1"/>
        <v>0</v>
      </c>
      <c r="F17" s="477"/>
      <c r="G17" s="477"/>
      <c r="H17" s="444">
        <f t="shared" si="2"/>
        <v>0</v>
      </c>
      <c r="I17" s="477"/>
      <c r="J17" s="477"/>
      <c r="K17" s="444">
        <f t="shared" si="3"/>
        <v>0</v>
      </c>
      <c r="L17" s="477"/>
      <c r="M17" s="477"/>
      <c r="N17" s="444">
        <f t="shared" si="4"/>
        <v>0</v>
      </c>
      <c r="O17" s="444">
        <f t="shared" si="6"/>
        <v>0</v>
      </c>
      <c r="P17" s="450">
        <f t="shared" si="7"/>
        <v>0</v>
      </c>
      <c r="Q17" s="478"/>
      <c r="R17" s="129"/>
      <c r="S17" s="480" t="s">
        <v>870</v>
      </c>
      <c r="T17" s="106">
        <f>COUNT(Q5:Q55)</f>
        <v>0</v>
      </c>
    </row>
    <row r="18" spans="1:20" ht="12.75">
      <c r="A18" s="562"/>
      <c r="B18" s="446">
        <f t="shared" si="5"/>
        <v>1980</v>
      </c>
      <c r="C18" s="477"/>
      <c r="D18" s="477"/>
      <c r="E18" s="444">
        <f t="shared" si="1"/>
        <v>0</v>
      </c>
      <c r="F18" s="477"/>
      <c r="G18" s="477"/>
      <c r="H18" s="444">
        <f t="shared" si="2"/>
        <v>0</v>
      </c>
      <c r="I18" s="477"/>
      <c r="J18" s="477"/>
      <c r="K18" s="444">
        <f t="shared" si="3"/>
        <v>0</v>
      </c>
      <c r="L18" s="477"/>
      <c r="M18" s="477"/>
      <c r="N18" s="444">
        <f t="shared" si="4"/>
        <v>0</v>
      </c>
      <c r="O18" s="444">
        <f t="shared" si="6"/>
        <v>0</v>
      </c>
      <c r="P18" s="450">
        <f t="shared" si="7"/>
        <v>0</v>
      </c>
      <c r="Q18" s="478"/>
      <c r="R18" s="129"/>
      <c r="S18" s="129"/>
      <c r="T18" s="129"/>
    </row>
    <row r="19" spans="1:20" ht="12.75">
      <c r="A19" s="562"/>
      <c r="B19" s="446">
        <f t="shared" si="5"/>
        <v>1981</v>
      </c>
      <c r="C19" s="477"/>
      <c r="D19" s="477"/>
      <c r="E19" s="444">
        <f t="shared" si="1"/>
        <v>0</v>
      </c>
      <c r="F19" s="477"/>
      <c r="G19" s="477"/>
      <c r="H19" s="444">
        <f t="shared" si="2"/>
        <v>0</v>
      </c>
      <c r="I19" s="477"/>
      <c r="J19" s="477"/>
      <c r="K19" s="444">
        <f t="shared" si="3"/>
        <v>0</v>
      </c>
      <c r="L19" s="477"/>
      <c r="M19" s="477"/>
      <c r="N19" s="444">
        <f t="shared" si="4"/>
        <v>0</v>
      </c>
      <c r="O19" s="444">
        <f t="shared" si="6"/>
        <v>0</v>
      </c>
      <c r="P19" s="450">
        <f t="shared" si="7"/>
        <v>0</v>
      </c>
      <c r="Q19" s="478"/>
      <c r="R19" s="129"/>
      <c r="S19" s="129"/>
      <c r="T19" s="129"/>
    </row>
    <row r="20" spans="1:20" ht="12.75">
      <c r="A20" s="562"/>
      <c r="B20" s="446">
        <f t="shared" si="5"/>
        <v>1982</v>
      </c>
      <c r="C20" s="477"/>
      <c r="D20" s="477"/>
      <c r="E20" s="444">
        <f t="shared" si="1"/>
        <v>0</v>
      </c>
      <c r="F20" s="477"/>
      <c r="G20" s="477"/>
      <c r="H20" s="444">
        <f t="shared" si="2"/>
        <v>0</v>
      </c>
      <c r="I20" s="477"/>
      <c r="J20" s="477"/>
      <c r="K20" s="444">
        <f t="shared" si="3"/>
        <v>0</v>
      </c>
      <c r="L20" s="477"/>
      <c r="M20" s="477"/>
      <c r="N20" s="444">
        <f t="shared" si="4"/>
        <v>0</v>
      </c>
      <c r="O20" s="444">
        <f t="shared" si="6"/>
        <v>0</v>
      </c>
      <c r="P20" s="450">
        <f t="shared" si="7"/>
        <v>0</v>
      </c>
      <c r="Q20" s="478"/>
      <c r="R20" s="129"/>
      <c r="S20" s="129"/>
      <c r="T20" s="129"/>
    </row>
    <row r="21" spans="1:20" ht="12.75">
      <c r="A21" s="562"/>
      <c r="B21" s="446">
        <f t="shared" si="5"/>
        <v>1983</v>
      </c>
      <c r="C21" s="477"/>
      <c r="D21" s="477"/>
      <c r="E21" s="444">
        <f t="shared" si="1"/>
        <v>0</v>
      </c>
      <c r="F21" s="477"/>
      <c r="G21" s="477"/>
      <c r="H21" s="444">
        <f t="shared" si="2"/>
        <v>0</v>
      </c>
      <c r="I21" s="477"/>
      <c r="J21" s="477"/>
      <c r="K21" s="444">
        <f t="shared" si="3"/>
        <v>0</v>
      </c>
      <c r="L21" s="477"/>
      <c r="M21" s="477"/>
      <c r="N21" s="444">
        <f t="shared" si="4"/>
        <v>0</v>
      </c>
      <c r="O21" s="444">
        <f t="shared" si="6"/>
        <v>0</v>
      </c>
      <c r="P21" s="450">
        <f t="shared" si="7"/>
        <v>0</v>
      </c>
      <c r="Q21" s="478"/>
      <c r="R21" s="129"/>
      <c r="S21" s="129"/>
      <c r="T21" s="129"/>
    </row>
    <row r="22" spans="1:20" ht="12.75">
      <c r="A22" s="562"/>
      <c r="B22" s="446">
        <f t="shared" si="5"/>
        <v>1984</v>
      </c>
      <c r="C22" s="477"/>
      <c r="D22" s="477"/>
      <c r="E22" s="444">
        <f t="shared" si="1"/>
        <v>0</v>
      </c>
      <c r="F22" s="477"/>
      <c r="G22" s="477"/>
      <c r="H22" s="444">
        <f t="shared" si="2"/>
        <v>0</v>
      </c>
      <c r="I22" s="477"/>
      <c r="J22" s="477"/>
      <c r="K22" s="444">
        <f t="shared" si="3"/>
        <v>0</v>
      </c>
      <c r="L22" s="477"/>
      <c r="M22" s="477"/>
      <c r="N22" s="444">
        <f t="shared" si="4"/>
        <v>0</v>
      </c>
      <c r="O22" s="444">
        <f t="shared" si="6"/>
        <v>0</v>
      </c>
      <c r="P22" s="450">
        <f t="shared" si="7"/>
        <v>0</v>
      </c>
      <c r="Q22" s="478"/>
      <c r="R22" s="129"/>
      <c r="S22" s="129"/>
      <c r="T22" s="129"/>
    </row>
    <row r="23" spans="1:20" ht="12.75">
      <c r="A23" s="562"/>
      <c r="B23" s="446">
        <f t="shared" si="5"/>
        <v>1985</v>
      </c>
      <c r="C23" s="477"/>
      <c r="D23" s="477"/>
      <c r="E23" s="444">
        <f t="shared" si="1"/>
        <v>0</v>
      </c>
      <c r="F23" s="477"/>
      <c r="G23" s="477"/>
      <c r="H23" s="444">
        <f t="shared" si="2"/>
        <v>0</v>
      </c>
      <c r="I23" s="477"/>
      <c r="J23" s="477"/>
      <c r="K23" s="444">
        <f t="shared" si="3"/>
        <v>0</v>
      </c>
      <c r="L23" s="477"/>
      <c r="M23" s="477"/>
      <c r="N23" s="444">
        <f t="shared" si="4"/>
        <v>0</v>
      </c>
      <c r="O23" s="444">
        <f t="shared" si="6"/>
        <v>0</v>
      </c>
      <c r="P23" s="450">
        <f t="shared" si="7"/>
        <v>0</v>
      </c>
      <c r="Q23" s="478"/>
      <c r="R23" s="129"/>
      <c r="S23" s="129"/>
      <c r="T23" s="129"/>
    </row>
    <row r="24" spans="1:20" ht="12.75">
      <c r="A24" s="562"/>
      <c r="B24" s="446">
        <f t="shared" si="5"/>
        <v>1986</v>
      </c>
      <c r="C24" s="477"/>
      <c r="D24" s="477"/>
      <c r="E24" s="444">
        <f t="shared" si="1"/>
        <v>0</v>
      </c>
      <c r="F24" s="477"/>
      <c r="G24" s="477"/>
      <c r="H24" s="444">
        <f t="shared" si="2"/>
        <v>0</v>
      </c>
      <c r="I24" s="477"/>
      <c r="J24" s="477"/>
      <c r="K24" s="444">
        <f t="shared" si="3"/>
        <v>0</v>
      </c>
      <c r="L24" s="477"/>
      <c r="M24" s="477"/>
      <c r="N24" s="444">
        <f t="shared" si="4"/>
        <v>0</v>
      </c>
      <c r="O24" s="444">
        <f t="shared" si="6"/>
        <v>0</v>
      </c>
      <c r="P24" s="450">
        <f t="shared" si="7"/>
        <v>0</v>
      </c>
      <c r="Q24" s="478"/>
      <c r="R24" s="129"/>
      <c r="S24" s="129"/>
      <c r="T24" s="129"/>
    </row>
    <row r="25" spans="1:20" ht="12.75">
      <c r="A25" s="562"/>
      <c r="B25" s="446">
        <f t="shared" si="5"/>
        <v>1987</v>
      </c>
      <c r="C25" s="477"/>
      <c r="D25" s="477"/>
      <c r="E25" s="444">
        <f t="shared" si="1"/>
        <v>0</v>
      </c>
      <c r="F25" s="477"/>
      <c r="G25" s="477"/>
      <c r="H25" s="444">
        <f t="shared" si="2"/>
        <v>0</v>
      </c>
      <c r="I25" s="477"/>
      <c r="J25" s="477"/>
      <c r="K25" s="444">
        <f t="shared" si="3"/>
        <v>0</v>
      </c>
      <c r="L25" s="477"/>
      <c r="M25" s="477"/>
      <c r="N25" s="444">
        <f t="shared" si="4"/>
        <v>0</v>
      </c>
      <c r="O25" s="444">
        <f t="shared" si="6"/>
        <v>0</v>
      </c>
      <c r="P25" s="450">
        <f t="shared" si="7"/>
        <v>0</v>
      </c>
      <c r="Q25" s="478"/>
      <c r="R25" s="129"/>
      <c r="S25" s="129"/>
      <c r="T25" s="129"/>
    </row>
    <row r="26" spans="1:20" ht="12.75">
      <c r="A26" s="562"/>
      <c r="B26" s="446">
        <f t="shared" si="5"/>
        <v>1988</v>
      </c>
      <c r="C26" s="477"/>
      <c r="D26" s="477"/>
      <c r="E26" s="444">
        <f t="shared" si="1"/>
        <v>0</v>
      </c>
      <c r="F26" s="477"/>
      <c r="G26" s="477"/>
      <c r="H26" s="444">
        <f t="shared" si="2"/>
        <v>0</v>
      </c>
      <c r="I26" s="477"/>
      <c r="J26" s="477"/>
      <c r="K26" s="444">
        <f t="shared" si="3"/>
        <v>0</v>
      </c>
      <c r="L26" s="477"/>
      <c r="M26" s="477"/>
      <c r="N26" s="444">
        <f t="shared" si="4"/>
        <v>0</v>
      </c>
      <c r="O26" s="444">
        <f t="shared" si="6"/>
        <v>0</v>
      </c>
      <c r="P26" s="450">
        <f t="shared" si="7"/>
        <v>0</v>
      </c>
      <c r="Q26" s="478"/>
      <c r="R26" s="129"/>
      <c r="S26" s="129"/>
      <c r="T26" s="129"/>
    </row>
    <row r="27" spans="1:20" ht="12.75">
      <c r="A27" s="562"/>
      <c r="B27" s="446">
        <f t="shared" si="5"/>
        <v>1989</v>
      </c>
      <c r="C27" s="477"/>
      <c r="D27" s="477"/>
      <c r="E27" s="444">
        <f t="shared" si="1"/>
        <v>0</v>
      </c>
      <c r="F27" s="477"/>
      <c r="G27" s="477"/>
      <c r="H27" s="444">
        <f t="shared" si="2"/>
        <v>0</v>
      </c>
      <c r="I27" s="477"/>
      <c r="J27" s="477"/>
      <c r="K27" s="444">
        <f t="shared" si="3"/>
        <v>0</v>
      </c>
      <c r="L27" s="477"/>
      <c r="M27" s="477"/>
      <c r="N27" s="444">
        <f t="shared" si="4"/>
        <v>0</v>
      </c>
      <c r="O27" s="444">
        <f t="shared" si="6"/>
        <v>0</v>
      </c>
      <c r="P27" s="450">
        <f t="shared" si="7"/>
        <v>0</v>
      </c>
      <c r="Q27" s="478"/>
      <c r="R27" s="129"/>
      <c r="S27" s="129"/>
      <c r="T27" s="129"/>
    </row>
    <row r="28" spans="1:20" ht="12.75">
      <c r="A28" s="562"/>
      <c r="B28" s="446">
        <f t="shared" si="5"/>
        <v>1990</v>
      </c>
      <c r="C28" s="477"/>
      <c r="D28" s="477"/>
      <c r="E28" s="444">
        <f t="shared" si="1"/>
        <v>0</v>
      </c>
      <c r="F28" s="477"/>
      <c r="G28" s="477"/>
      <c r="H28" s="444">
        <f t="shared" si="2"/>
        <v>0</v>
      </c>
      <c r="I28" s="477"/>
      <c r="J28" s="477"/>
      <c r="K28" s="444">
        <f t="shared" si="3"/>
        <v>0</v>
      </c>
      <c r="L28" s="477"/>
      <c r="M28" s="477"/>
      <c r="N28" s="444">
        <f t="shared" si="4"/>
        <v>0</v>
      </c>
      <c r="O28" s="444">
        <f t="shared" si="6"/>
        <v>0</v>
      </c>
      <c r="P28" s="450">
        <f t="shared" si="7"/>
        <v>0</v>
      </c>
      <c r="Q28" s="478"/>
      <c r="R28" s="129"/>
      <c r="S28" s="129"/>
      <c r="T28" s="129"/>
    </row>
    <row r="29" spans="1:20" ht="12.75">
      <c r="A29" s="562"/>
      <c r="B29" s="446">
        <f t="shared" si="5"/>
        <v>1991</v>
      </c>
      <c r="C29" s="477"/>
      <c r="D29" s="477"/>
      <c r="E29" s="444">
        <f t="shared" si="1"/>
        <v>0</v>
      </c>
      <c r="F29" s="477"/>
      <c r="G29" s="477"/>
      <c r="H29" s="444">
        <f t="shared" si="2"/>
        <v>0</v>
      </c>
      <c r="I29" s="477"/>
      <c r="J29" s="477"/>
      <c r="K29" s="444">
        <f t="shared" si="3"/>
        <v>0</v>
      </c>
      <c r="L29" s="477"/>
      <c r="M29" s="477"/>
      <c r="N29" s="444">
        <f t="shared" si="4"/>
        <v>0</v>
      </c>
      <c r="O29" s="444">
        <f t="shared" si="6"/>
        <v>0</v>
      </c>
      <c r="P29" s="450">
        <f t="shared" si="7"/>
        <v>0</v>
      </c>
      <c r="Q29" s="478"/>
      <c r="R29" s="129"/>
      <c r="S29" s="129"/>
      <c r="T29" s="129"/>
    </row>
    <row r="30" spans="1:20" ht="12.75">
      <c r="A30" s="562"/>
      <c r="B30" s="446">
        <f t="shared" si="5"/>
        <v>1992</v>
      </c>
      <c r="C30" s="477"/>
      <c r="D30" s="477"/>
      <c r="E30" s="444">
        <f t="shared" si="1"/>
        <v>0</v>
      </c>
      <c r="F30" s="477"/>
      <c r="G30" s="477"/>
      <c r="H30" s="444">
        <f t="shared" si="2"/>
        <v>0</v>
      </c>
      <c r="I30" s="477"/>
      <c r="J30" s="477"/>
      <c r="K30" s="444">
        <f t="shared" si="3"/>
        <v>0</v>
      </c>
      <c r="L30" s="477"/>
      <c r="M30" s="477"/>
      <c r="N30" s="444">
        <f t="shared" si="4"/>
        <v>0</v>
      </c>
      <c r="O30" s="444">
        <f t="shared" si="6"/>
        <v>0</v>
      </c>
      <c r="P30" s="450">
        <f t="shared" si="7"/>
        <v>0</v>
      </c>
      <c r="Q30" s="478"/>
      <c r="R30" s="129"/>
      <c r="S30" s="129"/>
      <c r="T30" s="129"/>
    </row>
    <row r="31" spans="1:20" ht="12.75">
      <c r="A31" s="562"/>
      <c r="B31" s="446">
        <f t="shared" si="5"/>
        <v>1993</v>
      </c>
      <c r="C31" s="477"/>
      <c r="D31" s="477"/>
      <c r="E31" s="444">
        <f t="shared" si="1"/>
        <v>0</v>
      </c>
      <c r="F31" s="477"/>
      <c r="G31" s="477"/>
      <c r="H31" s="444">
        <f t="shared" si="2"/>
        <v>0</v>
      </c>
      <c r="I31" s="477"/>
      <c r="J31" s="477"/>
      <c r="K31" s="444">
        <f t="shared" si="3"/>
        <v>0</v>
      </c>
      <c r="L31" s="477"/>
      <c r="M31" s="477"/>
      <c r="N31" s="444">
        <f t="shared" si="4"/>
        <v>0</v>
      </c>
      <c r="O31" s="444">
        <f t="shared" si="6"/>
        <v>0</v>
      </c>
      <c r="P31" s="450">
        <f t="shared" si="7"/>
        <v>0</v>
      </c>
      <c r="Q31" s="478"/>
      <c r="R31" s="129"/>
      <c r="S31" s="129"/>
      <c r="T31" s="129"/>
    </row>
    <row r="32" spans="1:20" ht="12.75">
      <c r="A32" s="562"/>
      <c r="B32" s="446">
        <f t="shared" si="5"/>
        <v>1994</v>
      </c>
      <c r="C32" s="477"/>
      <c r="D32" s="477"/>
      <c r="E32" s="444">
        <f t="shared" si="1"/>
        <v>0</v>
      </c>
      <c r="F32" s="477"/>
      <c r="G32" s="477"/>
      <c r="H32" s="444">
        <f t="shared" si="2"/>
        <v>0</v>
      </c>
      <c r="I32" s="477"/>
      <c r="J32" s="477"/>
      <c r="K32" s="444">
        <f t="shared" si="3"/>
        <v>0</v>
      </c>
      <c r="L32" s="477"/>
      <c r="M32" s="477"/>
      <c r="N32" s="444">
        <f t="shared" si="4"/>
        <v>0</v>
      </c>
      <c r="O32" s="444">
        <f t="shared" si="6"/>
        <v>0</v>
      </c>
      <c r="P32" s="450">
        <f t="shared" si="7"/>
        <v>0</v>
      </c>
      <c r="Q32" s="478"/>
      <c r="R32" s="129"/>
      <c r="S32" s="129"/>
      <c r="T32" s="129"/>
    </row>
    <row r="33" spans="1:20" ht="12.75">
      <c r="A33" s="562"/>
      <c r="B33" s="446">
        <f t="shared" si="5"/>
        <v>1995</v>
      </c>
      <c r="C33" s="477"/>
      <c r="D33" s="477"/>
      <c r="E33" s="444">
        <f t="shared" si="1"/>
        <v>0</v>
      </c>
      <c r="F33" s="477"/>
      <c r="G33" s="477"/>
      <c r="H33" s="444">
        <f t="shared" si="2"/>
        <v>0</v>
      </c>
      <c r="I33" s="477"/>
      <c r="J33" s="477"/>
      <c r="K33" s="444">
        <f t="shared" si="3"/>
        <v>0</v>
      </c>
      <c r="L33" s="477"/>
      <c r="M33" s="477"/>
      <c r="N33" s="444">
        <f t="shared" si="4"/>
        <v>0</v>
      </c>
      <c r="O33" s="444">
        <f t="shared" si="6"/>
        <v>0</v>
      </c>
      <c r="P33" s="450">
        <f t="shared" si="7"/>
        <v>0</v>
      </c>
      <c r="Q33" s="478"/>
      <c r="R33" s="129"/>
      <c r="S33" s="129"/>
      <c r="T33" s="129"/>
    </row>
    <row r="34" spans="1:20" ht="12.75">
      <c r="A34" s="562"/>
      <c r="B34" s="446">
        <f t="shared" si="5"/>
        <v>1996</v>
      </c>
      <c r="C34" s="477"/>
      <c r="D34" s="477"/>
      <c r="E34" s="444">
        <f t="shared" si="1"/>
        <v>0</v>
      </c>
      <c r="F34" s="477"/>
      <c r="G34" s="477"/>
      <c r="H34" s="444">
        <f t="shared" si="2"/>
        <v>0</v>
      </c>
      <c r="I34" s="477"/>
      <c r="J34" s="477"/>
      <c r="K34" s="444">
        <f t="shared" si="3"/>
        <v>0</v>
      </c>
      <c r="L34" s="477"/>
      <c r="M34" s="477"/>
      <c r="N34" s="444">
        <f t="shared" si="4"/>
        <v>0</v>
      </c>
      <c r="O34" s="444">
        <f t="shared" si="6"/>
        <v>0</v>
      </c>
      <c r="P34" s="450">
        <f t="shared" si="7"/>
        <v>0</v>
      </c>
      <c r="Q34" s="478"/>
      <c r="R34" s="129"/>
      <c r="S34" s="129"/>
      <c r="T34" s="129"/>
    </row>
    <row r="35" spans="1:20" ht="12.75">
      <c r="A35" s="562"/>
      <c r="B35" s="446">
        <f t="shared" si="5"/>
        <v>1997</v>
      </c>
      <c r="C35" s="477"/>
      <c r="D35" s="477"/>
      <c r="E35" s="444">
        <f t="shared" si="1"/>
        <v>0</v>
      </c>
      <c r="F35" s="477"/>
      <c r="G35" s="477"/>
      <c r="H35" s="444">
        <f t="shared" si="2"/>
        <v>0</v>
      </c>
      <c r="I35" s="477"/>
      <c r="J35" s="477"/>
      <c r="K35" s="444">
        <f t="shared" si="3"/>
        <v>0</v>
      </c>
      <c r="L35" s="477"/>
      <c r="M35" s="477"/>
      <c r="N35" s="444">
        <f t="shared" si="4"/>
        <v>0</v>
      </c>
      <c r="O35" s="444">
        <f t="shared" si="6"/>
        <v>0</v>
      </c>
      <c r="P35" s="450">
        <f t="shared" si="7"/>
        <v>0</v>
      </c>
      <c r="Q35" s="478"/>
      <c r="R35" s="129"/>
      <c r="S35" s="129"/>
      <c r="T35" s="129"/>
    </row>
    <row r="36" spans="1:20" ht="12.75">
      <c r="A36" s="562"/>
      <c r="B36" s="446">
        <f t="shared" si="5"/>
        <v>1998</v>
      </c>
      <c r="C36" s="477"/>
      <c r="D36" s="477"/>
      <c r="E36" s="444">
        <f t="shared" si="1"/>
        <v>0</v>
      </c>
      <c r="F36" s="477"/>
      <c r="G36" s="477"/>
      <c r="H36" s="444">
        <f t="shared" si="2"/>
        <v>0</v>
      </c>
      <c r="I36" s="477"/>
      <c r="J36" s="477"/>
      <c r="K36" s="444">
        <f t="shared" si="3"/>
        <v>0</v>
      </c>
      <c r="L36" s="477"/>
      <c r="M36" s="477"/>
      <c r="N36" s="444">
        <f t="shared" si="4"/>
        <v>0</v>
      </c>
      <c r="O36" s="444">
        <f t="shared" si="6"/>
        <v>0</v>
      </c>
      <c r="P36" s="450">
        <f t="shared" si="7"/>
        <v>0</v>
      </c>
      <c r="Q36" s="478"/>
      <c r="R36" s="129"/>
      <c r="S36" s="129"/>
      <c r="T36" s="129"/>
    </row>
    <row r="37" spans="1:20" ht="12.75">
      <c r="A37" s="562"/>
      <c r="B37" s="446">
        <f t="shared" si="5"/>
        <v>1999</v>
      </c>
      <c r="C37" s="477"/>
      <c r="D37" s="477"/>
      <c r="E37" s="444">
        <f aca="true" t="shared" si="8" ref="E37:E55">LOOKUP(C37,months)+LOOKUP(D37,Hours)</f>
        <v>0</v>
      </c>
      <c r="F37" s="477"/>
      <c r="G37" s="477"/>
      <c r="H37" s="444">
        <f aca="true" t="shared" si="9" ref="H37:H55">LOOKUP(F37,months)+LOOKUP(G37,Hours)</f>
        <v>0</v>
      </c>
      <c r="I37" s="477"/>
      <c r="J37" s="477"/>
      <c r="K37" s="444">
        <f aca="true" t="shared" si="10" ref="K37:K55">LOOKUP(I37,months)+LOOKUP(J37,Hours)</f>
        <v>0</v>
      </c>
      <c r="L37" s="477"/>
      <c r="M37" s="477"/>
      <c r="N37" s="444">
        <f aca="true" t="shared" si="11" ref="N37:N55">LOOKUP(L37,months)+LOOKUP(M37,Hours)</f>
        <v>0</v>
      </c>
      <c r="O37" s="444">
        <f t="shared" si="6"/>
        <v>0</v>
      </c>
      <c r="P37" s="450">
        <f t="shared" si="7"/>
        <v>0</v>
      </c>
      <c r="Q37" s="478"/>
      <c r="R37" s="129"/>
      <c r="S37" s="129"/>
      <c r="T37" s="129"/>
    </row>
    <row r="38" spans="1:20" ht="12.75">
      <c r="A38" s="562"/>
      <c r="B38" s="446">
        <f t="shared" si="5"/>
        <v>2000</v>
      </c>
      <c r="C38" s="477"/>
      <c r="D38" s="477"/>
      <c r="E38" s="444">
        <f t="shared" si="8"/>
        <v>0</v>
      </c>
      <c r="F38" s="477"/>
      <c r="G38" s="477"/>
      <c r="H38" s="444">
        <f t="shared" si="9"/>
        <v>0</v>
      </c>
      <c r="I38" s="477"/>
      <c r="J38" s="477"/>
      <c r="K38" s="444">
        <f t="shared" si="10"/>
        <v>0</v>
      </c>
      <c r="L38" s="477"/>
      <c r="M38" s="477"/>
      <c r="N38" s="444">
        <f t="shared" si="11"/>
        <v>0</v>
      </c>
      <c r="O38" s="444">
        <f t="shared" si="6"/>
        <v>0</v>
      </c>
      <c r="P38" s="450">
        <f t="shared" si="7"/>
        <v>0</v>
      </c>
      <c r="Q38" s="478"/>
      <c r="R38" s="129"/>
      <c r="S38" s="129"/>
      <c r="T38" s="129"/>
    </row>
    <row r="39" spans="1:20" ht="12.75">
      <c r="A39" s="562"/>
      <c r="B39" s="447">
        <f t="shared" si="5"/>
        <v>2001</v>
      </c>
      <c r="C39" s="477"/>
      <c r="D39" s="477"/>
      <c r="E39" s="475">
        <f t="shared" si="8"/>
        <v>0</v>
      </c>
      <c r="F39" s="477"/>
      <c r="G39" s="477"/>
      <c r="H39" s="475">
        <f t="shared" si="9"/>
        <v>0</v>
      </c>
      <c r="I39" s="477"/>
      <c r="J39" s="477"/>
      <c r="K39" s="475">
        <f t="shared" si="10"/>
        <v>0</v>
      </c>
      <c r="L39" s="477"/>
      <c r="M39" s="477"/>
      <c r="N39" s="475">
        <f t="shared" si="11"/>
        <v>0</v>
      </c>
      <c r="O39" s="475">
        <f t="shared" si="6"/>
        <v>0</v>
      </c>
      <c r="P39" s="513">
        <f>O39</f>
        <v>0</v>
      </c>
      <c r="Q39" s="478"/>
      <c r="R39" s="129"/>
      <c r="S39" s="129"/>
      <c r="T39" s="129"/>
    </row>
    <row r="40" spans="1:20" ht="12.75">
      <c r="A40" s="561" t="s">
        <v>148</v>
      </c>
      <c r="B40" s="447">
        <f t="shared" si="5"/>
        <v>2002</v>
      </c>
      <c r="C40" s="477"/>
      <c r="D40" s="477"/>
      <c r="E40" s="475">
        <f t="shared" si="8"/>
        <v>0</v>
      </c>
      <c r="F40" s="477"/>
      <c r="G40" s="477"/>
      <c r="H40" s="475">
        <f t="shared" si="9"/>
        <v>0</v>
      </c>
      <c r="I40" s="477"/>
      <c r="J40" s="477"/>
      <c r="K40" s="475">
        <f t="shared" si="10"/>
        <v>0</v>
      </c>
      <c r="L40" s="477"/>
      <c r="M40" s="477"/>
      <c r="N40" s="475">
        <f t="shared" si="11"/>
        <v>0</v>
      </c>
      <c r="O40" s="475">
        <f t="shared" si="6"/>
        <v>0</v>
      </c>
      <c r="P40" s="451">
        <f t="shared" si="7"/>
        <v>0</v>
      </c>
      <c r="Q40" s="479"/>
      <c r="R40" s="129"/>
      <c r="S40" s="129"/>
      <c r="T40" s="129"/>
    </row>
    <row r="41" spans="1:20" ht="12.75">
      <c r="A41" s="562"/>
      <c r="B41" s="447">
        <f t="shared" si="5"/>
        <v>2003</v>
      </c>
      <c r="C41" s="477"/>
      <c r="D41" s="477"/>
      <c r="E41" s="475">
        <f t="shared" si="8"/>
        <v>0</v>
      </c>
      <c r="F41" s="477"/>
      <c r="G41" s="477"/>
      <c r="H41" s="475">
        <f t="shared" si="9"/>
        <v>0</v>
      </c>
      <c r="I41" s="477"/>
      <c r="J41" s="477"/>
      <c r="K41" s="475">
        <f t="shared" si="10"/>
        <v>0</v>
      </c>
      <c r="L41" s="477"/>
      <c r="M41" s="477"/>
      <c r="N41" s="475">
        <f t="shared" si="11"/>
        <v>0</v>
      </c>
      <c r="O41" s="475">
        <f t="shared" si="6"/>
        <v>0</v>
      </c>
      <c r="P41" s="451">
        <f t="shared" si="7"/>
        <v>0</v>
      </c>
      <c r="Q41" s="479"/>
      <c r="R41" s="129"/>
      <c r="S41" s="129"/>
      <c r="T41" s="129"/>
    </row>
    <row r="42" spans="1:20" ht="12.75">
      <c r="A42" s="562"/>
      <c r="B42" s="447">
        <f t="shared" si="5"/>
        <v>2004</v>
      </c>
      <c r="C42" s="477"/>
      <c r="D42" s="477"/>
      <c r="E42" s="475">
        <f t="shared" si="8"/>
        <v>0</v>
      </c>
      <c r="F42" s="477"/>
      <c r="G42" s="477"/>
      <c r="H42" s="475">
        <f t="shared" si="9"/>
        <v>0</v>
      </c>
      <c r="I42" s="477"/>
      <c r="J42" s="477"/>
      <c r="K42" s="475">
        <f t="shared" si="10"/>
        <v>0</v>
      </c>
      <c r="L42" s="477"/>
      <c r="M42" s="477"/>
      <c r="N42" s="475">
        <f t="shared" si="11"/>
        <v>0</v>
      </c>
      <c r="O42" s="475">
        <f t="shared" si="6"/>
        <v>0</v>
      </c>
      <c r="P42" s="451">
        <f t="shared" si="7"/>
        <v>0</v>
      </c>
      <c r="Q42" s="479"/>
      <c r="R42" s="129"/>
      <c r="S42" s="129"/>
      <c r="T42" s="129"/>
    </row>
    <row r="43" spans="1:20" ht="12.75">
      <c r="A43" s="562"/>
      <c r="B43" s="447">
        <f t="shared" si="5"/>
        <v>2005</v>
      </c>
      <c r="C43" s="477"/>
      <c r="D43" s="477"/>
      <c r="E43" s="475">
        <f t="shared" si="8"/>
        <v>0</v>
      </c>
      <c r="F43" s="477"/>
      <c r="G43" s="477"/>
      <c r="H43" s="475">
        <f t="shared" si="9"/>
        <v>0</v>
      </c>
      <c r="I43" s="477"/>
      <c r="J43" s="477"/>
      <c r="K43" s="475">
        <f t="shared" si="10"/>
        <v>0</v>
      </c>
      <c r="L43" s="477"/>
      <c r="M43" s="477"/>
      <c r="N43" s="475">
        <f t="shared" si="11"/>
        <v>0</v>
      </c>
      <c r="O43" s="475">
        <f t="shared" si="6"/>
        <v>0</v>
      </c>
      <c r="P43" s="451">
        <f t="shared" si="7"/>
        <v>0</v>
      </c>
      <c r="Q43" s="479"/>
      <c r="R43" s="129"/>
      <c r="S43" s="129"/>
      <c r="T43" s="129"/>
    </row>
    <row r="44" spans="1:20" ht="12.75">
      <c r="A44" s="562"/>
      <c r="B44" s="447">
        <f t="shared" si="5"/>
        <v>2006</v>
      </c>
      <c r="C44" s="477"/>
      <c r="D44" s="477"/>
      <c r="E44" s="475">
        <f t="shared" si="8"/>
        <v>0</v>
      </c>
      <c r="F44" s="477"/>
      <c r="G44" s="477"/>
      <c r="H44" s="475">
        <f t="shared" si="9"/>
        <v>0</v>
      </c>
      <c r="I44" s="477"/>
      <c r="J44" s="477"/>
      <c r="K44" s="475">
        <f t="shared" si="10"/>
        <v>0</v>
      </c>
      <c r="L44" s="477"/>
      <c r="M44" s="477"/>
      <c r="N44" s="475">
        <f t="shared" si="11"/>
        <v>0</v>
      </c>
      <c r="O44" s="475">
        <f t="shared" si="6"/>
        <v>0</v>
      </c>
      <c r="P44" s="451">
        <f t="shared" si="7"/>
        <v>0</v>
      </c>
      <c r="Q44" s="479"/>
      <c r="R44" s="129"/>
      <c r="S44" s="129"/>
      <c r="T44" s="129"/>
    </row>
    <row r="45" spans="1:20" ht="12.75">
      <c r="A45" s="562"/>
      <c r="B45" s="447">
        <f t="shared" si="5"/>
        <v>2007</v>
      </c>
      <c r="C45" s="477"/>
      <c r="D45" s="477"/>
      <c r="E45" s="475">
        <f t="shared" si="8"/>
        <v>0</v>
      </c>
      <c r="F45" s="477"/>
      <c r="G45" s="477"/>
      <c r="H45" s="475">
        <f t="shared" si="9"/>
        <v>0</v>
      </c>
      <c r="I45" s="477"/>
      <c r="J45" s="477"/>
      <c r="K45" s="475">
        <f t="shared" si="10"/>
        <v>0</v>
      </c>
      <c r="L45" s="477"/>
      <c r="M45" s="477"/>
      <c r="N45" s="475">
        <f t="shared" si="11"/>
        <v>0</v>
      </c>
      <c r="O45" s="475">
        <f t="shared" si="6"/>
        <v>0</v>
      </c>
      <c r="P45" s="451">
        <f t="shared" si="7"/>
        <v>0</v>
      </c>
      <c r="Q45" s="479"/>
      <c r="R45" s="129"/>
      <c r="S45" s="129"/>
      <c r="T45" s="129"/>
    </row>
    <row r="46" spans="1:20" ht="12.75">
      <c r="A46" s="562"/>
      <c r="B46" s="447">
        <f t="shared" si="5"/>
        <v>2008</v>
      </c>
      <c r="C46" s="477"/>
      <c r="D46" s="477"/>
      <c r="E46" s="475">
        <f t="shared" si="8"/>
        <v>0</v>
      </c>
      <c r="F46" s="477"/>
      <c r="G46" s="477"/>
      <c r="H46" s="475">
        <f t="shared" si="9"/>
        <v>0</v>
      </c>
      <c r="I46" s="477"/>
      <c r="J46" s="477"/>
      <c r="K46" s="475">
        <f t="shared" si="10"/>
        <v>0</v>
      </c>
      <c r="L46" s="477"/>
      <c r="M46" s="477"/>
      <c r="N46" s="475">
        <f t="shared" si="11"/>
        <v>0</v>
      </c>
      <c r="O46" s="475">
        <f t="shared" si="6"/>
        <v>0</v>
      </c>
      <c r="P46" s="451">
        <f t="shared" si="7"/>
        <v>0</v>
      </c>
      <c r="Q46" s="479"/>
      <c r="R46" s="129"/>
      <c r="S46" s="129"/>
      <c r="T46" s="129"/>
    </row>
    <row r="47" spans="1:20" ht="12.75">
      <c r="A47" s="562"/>
      <c r="B47" s="447">
        <f t="shared" si="5"/>
        <v>2009</v>
      </c>
      <c r="C47" s="477"/>
      <c r="D47" s="477"/>
      <c r="E47" s="475">
        <f t="shared" si="8"/>
        <v>0</v>
      </c>
      <c r="F47" s="477"/>
      <c r="G47" s="477"/>
      <c r="H47" s="475">
        <f t="shared" si="9"/>
        <v>0</v>
      </c>
      <c r="I47" s="477"/>
      <c r="J47" s="477"/>
      <c r="K47" s="475">
        <f t="shared" si="10"/>
        <v>0</v>
      </c>
      <c r="L47" s="477"/>
      <c r="M47" s="477"/>
      <c r="N47" s="475">
        <f t="shared" si="11"/>
        <v>0</v>
      </c>
      <c r="O47" s="475">
        <f t="shared" si="6"/>
        <v>0</v>
      </c>
      <c r="P47" s="451">
        <f t="shared" si="7"/>
        <v>0</v>
      </c>
      <c r="Q47" s="479"/>
      <c r="R47" s="129"/>
      <c r="S47" s="129"/>
      <c r="T47" s="129"/>
    </row>
    <row r="48" spans="1:20" ht="12.75">
      <c r="A48" s="562"/>
      <c r="B48" s="447">
        <f t="shared" si="5"/>
        <v>2010</v>
      </c>
      <c r="C48" s="477"/>
      <c r="D48" s="477"/>
      <c r="E48" s="475">
        <f t="shared" si="8"/>
        <v>0</v>
      </c>
      <c r="F48" s="477"/>
      <c r="G48" s="477"/>
      <c r="H48" s="475">
        <f t="shared" si="9"/>
        <v>0</v>
      </c>
      <c r="I48" s="477"/>
      <c r="J48" s="477"/>
      <c r="K48" s="475">
        <f t="shared" si="10"/>
        <v>0</v>
      </c>
      <c r="L48" s="477"/>
      <c r="M48" s="477"/>
      <c r="N48" s="475">
        <f t="shared" si="11"/>
        <v>0</v>
      </c>
      <c r="O48" s="475">
        <f t="shared" si="6"/>
        <v>0</v>
      </c>
      <c r="P48" s="451">
        <f t="shared" si="7"/>
        <v>0</v>
      </c>
      <c r="Q48" s="479"/>
      <c r="R48" s="129"/>
      <c r="S48" s="129"/>
      <c r="T48" s="129"/>
    </row>
    <row r="49" spans="1:20" ht="12.75">
      <c r="A49" s="562"/>
      <c r="B49" s="447">
        <f t="shared" si="5"/>
        <v>2011</v>
      </c>
      <c r="C49" s="477"/>
      <c r="D49" s="477"/>
      <c r="E49" s="475">
        <f t="shared" si="8"/>
        <v>0</v>
      </c>
      <c r="F49" s="477"/>
      <c r="G49" s="477"/>
      <c r="H49" s="475">
        <f t="shared" si="9"/>
        <v>0</v>
      </c>
      <c r="I49" s="477"/>
      <c r="J49" s="477"/>
      <c r="K49" s="475">
        <f t="shared" si="10"/>
        <v>0</v>
      </c>
      <c r="L49" s="477"/>
      <c r="M49" s="477"/>
      <c r="N49" s="475">
        <f t="shared" si="11"/>
        <v>0</v>
      </c>
      <c r="O49" s="475">
        <f t="shared" si="6"/>
        <v>0</v>
      </c>
      <c r="P49" s="451">
        <f t="shared" si="7"/>
        <v>0</v>
      </c>
      <c r="Q49" s="477"/>
      <c r="R49" s="129"/>
      <c r="S49" s="129"/>
      <c r="T49" s="129"/>
    </row>
    <row r="50" spans="1:20" ht="12.75">
      <c r="A50" s="562"/>
      <c r="B50" s="447">
        <f t="shared" si="5"/>
        <v>2012</v>
      </c>
      <c r="C50" s="477"/>
      <c r="D50" s="477"/>
      <c r="E50" s="475">
        <f t="shared" si="8"/>
        <v>0</v>
      </c>
      <c r="F50" s="477"/>
      <c r="G50" s="477"/>
      <c r="H50" s="475">
        <f t="shared" si="9"/>
        <v>0</v>
      </c>
      <c r="I50" s="477"/>
      <c r="J50" s="477"/>
      <c r="K50" s="475">
        <f t="shared" si="10"/>
        <v>0</v>
      </c>
      <c r="L50" s="477"/>
      <c r="M50" s="477"/>
      <c r="N50" s="475">
        <f t="shared" si="11"/>
        <v>0</v>
      </c>
      <c r="O50" s="475">
        <f t="shared" si="6"/>
        <v>0</v>
      </c>
      <c r="P50" s="451">
        <f t="shared" si="7"/>
        <v>0</v>
      </c>
      <c r="Q50" s="477"/>
      <c r="R50" s="129"/>
      <c r="S50" s="129"/>
      <c r="T50" s="129"/>
    </row>
    <row r="51" spans="1:20" ht="12.75">
      <c r="A51" s="562"/>
      <c r="B51" s="447">
        <f t="shared" si="5"/>
        <v>2013</v>
      </c>
      <c r="C51" s="477"/>
      <c r="D51" s="477"/>
      <c r="E51" s="475">
        <f t="shared" si="8"/>
        <v>0</v>
      </c>
      <c r="F51" s="477"/>
      <c r="G51" s="477"/>
      <c r="H51" s="475">
        <f t="shared" si="9"/>
        <v>0</v>
      </c>
      <c r="I51" s="477"/>
      <c r="J51" s="477"/>
      <c r="K51" s="475">
        <f t="shared" si="10"/>
        <v>0</v>
      </c>
      <c r="L51" s="477"/>
      <c r="M51" s="477"/>
      <c r="N51" s="475">
        <f t="shared" si="11"/>
        <v>0</v>
      </c>
      <c r="O51" s="475">
        <f t="shared" si="6"/>
        <v>0</v>
      </c>
      <c r="P51" s="451">
        <f t="shared" si="7"/>
        <v>0</v>
      </c>
      <c r="Q51" s="477"/>
      <c r="R51" s="129"/>
      <c r="S51" s="129"/>
      <c r="T51" s="129"/>
    </row>
    <row r="52" spans="1:20" ht="12.75">
      <c r="A52" s="562"/>
      <c r="B52" s="448">
        <f>+B51+1</f>
        <v>2014</v>
      </c>
      <c r="C52" s="477"/>
      <c r="D52" s="477"/>
      <c r="E52" s="475">
        <f t="shared" si="8"/>
        <v>0</v>
      </c>
      <c r="F52" s="477"/>
      <c r="G52" s="477"/>
      <c r="H52" s="475">
        <f t="shared" si="9"/>
        <v>0</v>
      </c>
      <c r="I52" s="477"/>
      <c r="J52" s="477"/>
      <c r="K52" s="475">
        <f t="shared" si="10"/>
        <v>0</v>
      </c>
      <c r="L52" s="477"/>
      <c r="M52" s="477"/>
      <c r="N52" s="475">
        <f t="shared" si="11"/>
        <v>0</v>
      </c>
      <c r="O52" s="475">
        <f t="shared" si="6"/>
        <v>0</v>
      </c>
      <c r="P52" s="451">
        <f t="shared" si="7"/>
        <v>0</v>
      </c>
      <c r="Q52" s="477"/>
      <c r="R52" s="129"/>
      <c r="S52" s="129"/>
      <c r="T52" s="129"/>
    </row>
    <row r="53" spans="1:20" ht="12.75">
      <c r="A53" s="562"/>
      <c r="B53" s="447">
        <f>+B52+1</f>
        <v>2015</v>
      </c>
      <c r="C53" s="477"/>
      <c r="D53" s="477"/>
      <c r="E53" s="475">
        <f t="shared" si="8"/>
        <v>0</v>
      </c>
      <c r="F53" s="477"/>
      <c r="G53" s="477"/>
      <c r="H53" s="475">
        <f t="shared" si="9"/>
        <v>0</v>
      </c>
      <c r="I53" s="477"/>
      <c r="J53" s="477"/>
      <c r="K53" s="475">
        <f t="shared" si="10"/>
        <v>0</v>
      </c>
      <c r="L53" s="477"/>
      <c r="M53" s="477"/>
      <c r="N53" s="475">
        <f t="shared" si="11"/>
        <v>0</v>
      </c>
      <c r="O53" s="475">
        <f t="shared" si="6"/>
        <v>0</v>
      </c>
      <c r="P53" s="451">
        <f t="shared" si="7"/>
        <v>0</v>
      </c>
      <c r="Q53" s="477"/>
      <c r="R53" s="129"/>
      <c r="S53" s="129"/>
      <c r="T53" s="129"/>
    </row>
    <row r="54" spans="1:20" ht="12.75">
      <c r="A54" s="562"/>
      <c r="B54" s="447">
        <f>+B53+1</f>
        <v>2016</v>
      </c>
      <c r="C54" s="477"/>
      <c r="D54" s="477"/>
      <c r="E54" s="475">
        <f t="shared" si="8"/>
        <v>0</v>
      </c>
      <c r="F54" s="477"/>
      <c r="G54" s="477"/>
      <c r="H54" s="475">
        <f t="shared" si="9"/>
        <v>0</v>
      </c>
      <c r="I54" s="477"/>
      <c r="J54" s="477"/>
      <c r="K54" s="475">
        <f t="shared" si="10"/>
        <v>0</v>
      </c>
      <c r="L54" s="477"/>
      <c r="M54" s="477"/>
      <c r="N54" s="475">
        <f t="shared" si="11"/>
        <v>0</v>
      </c>
      <c r="O54" s="475">
        <f t="shared" si="6"/>
        <v>0</v>
      </c>
      <c r="P54" s="451">
        <f t="shared" si="7"/>
        <v>0</v>
      </c>
      <c r="Q54" s="477"/>
      <c r="R54" s="129"/>
      <c r="S54" s="129"/>
      <c r="T54" s="129"/>
    </row>
    <row r="55" spans="1:20" ht="13.5" thickBot="1">
      <c r="A55" s="562"/>
      <c r="B55" s="449">
        <f>+B54+1</f>
        <v>2017</v>
      </c>
      <c r="C55" s="477"/>
      <c r="D55" s="477"/>
      <c r="E55" s="475">
        <f t="shared" si="8"/>
        <v>0</v>
      </c>
      <c r="F55" s="477"/>
      <c r="G55" s="477"/>
      <c r="H55" s="475">
        <f t="shared" si="9"/>
        <v>0</v>
      </c>
      <c r="I55" s="477"/>
      <c r="J55" s="477"/>
      <c r="K55" s="475">
        <f t="shared" si="10"/>
        <v>0</v>
      </c>
      <c r="L55" s="477"/>
      <c r="M55" s="477"/>
      <c r="N55" s="475">
        <f t="shared" si="11"/>
        <v>0</v>
      </c>
      <c r="O55" s="475">
        <f t="shared" si="6"/>
        <v>0</v>
      </c>
      <c r="P55" s="451">
        <f t="shared" si="7"/>
        <v>0</v>
      </c>
      <c r="Q55" s="477"/>
      <c r="R55" s="129"/>
      <c r="S55" s="129"/>
      <c r="T55" s="129"/>
    </row>
    <row r="56" spans="1:20" ht="12.75">
      <c r="A56" s="129"/>
      <c r="B56" s="452" t="s">
        <v>14</v>
      </c>
      <c r="C56" s="452"/>
      <c r="D56" s="452"/>
      <c r="E56" s="453">
        <f>SUM(E5:E55)</f>
        <v>0</v>
      </c>
      <c r="F56" s="452"/>
      <c r="G56" s="452"/>
      <c r="H56" s="453">
        <f>SUM(H5:H55)</f>
        <v>0</v>
      </c>
      <c r="I56" s="452"/>
      <c r="J56" s="452"/>
      <c r="K56" s="453">
        <f>SUM(K5:K55)</f>
        <v>0</v>
      </c>
      <c r="L56" s="452"/>
      <c r="M56" s="452"/>
      <c r="N56" s="453">
        <f>SUM(N5:N55)</f>
        <v>0</v>
      </c>
      <c r="O56" s="476">
        <f t="shared" si="6"/>
        <v>0</v>
      </c>
      <c r="P56" s="452"/>
      <c r="Q56" s="129"/>
      <c r="R56" s="129"/>
      <c r="S56" s="129"/>
      <c r="T56" s="129"/>
    </row>
    <row r="57" spans="1:20" ht="12.75">
      <c r="A57" s="129"/>
      <c r="B57" s="452"/>
      <c r="C57" s="452"/>
      <c r="D57" s="452"/>
      <c r="E57" s="452"/>
      <c r="F57" s="452"/>
      <c r="G57" s="452"/>
      <c r="H57" s="452"/>
      <c r="I57" s="452"/>
      <c r="J57" s="452"/>
      <c r="K57" s="452"/>
      <c r="L57" s="452"/>
      <c r="M57" s="452"/>
      <c r="N57" s="452"/>
      <c r="O57" s="452"/>
      <c r="P57" s="452"/>
      <c r="Q57" s="129"/>
      <c r="R57" s="129"/>
      <c r="S57" s="129"/>
      <c r="T57" s="129"/>
    </row>
    <row r="58" spans="1:20" ht="14.25">
      <c r="A58" s="129"/>
      <c r="B58" s="454" t="s">
        <v>807</v>
      </c>
      <c r="C58" s="452"/>
      <c r="D58" s="452"/>
      <c r="E58" s="452"/>
      <c r="F58" s="452"/>
      <c r="G58" s="452"/>
      <c r="H58" s="452"/>
      <c r="I58" s="452"/>
      <c r="J58" s="452"/>
      <c r="K58" s="452"/>
      <c r="L58" s="452"/>
      <c r="M58" s="452"/>
      <c r="N58" s="452"/>
      <c r="O58" s="452"/>
      <c r="P58" s="452"/>
      <c r="Q58" s="129"/>
      <c r="R58" s="129"/>
      <c r="S58" s="129"/>
      <c r="T58" s="129"/>
    </row>
    <row r="59" spans="1:20" ht="12.75">
      <c r="A59" s="129"/>
      <c r="B59" s="452" t="s">
        <v>799</v>
      </c>
      <c r="C59" s="455" t="e">
        <f>E56/C$64</f>
        <v>#DIV/0!</v>
      </c>
      <c r="D59" s="452"/>
      <c r="E59" s="452"/>
      <c r="F59" s="452"/>
      <c r="G59" s="452"/>
      <c r="H59" s="452"/>
      <c r="I59" s="456"/>
      <c r="J59" s="452"/>
      <c r="K59" s="452"/>
      <c r="L59" s="452"/>
      <c r="M59" s="452"/>
      <c r="N59" s="452"/>
      <c r="O59" s="452"/>
      <c r="P59" s="452"/>
      <c r="Q59" s="129"/>
      <c r="R59" s="129"/>
      <c r="S59" s="129"/>
      <c r="T59" s="129"/>
    </row>
    <row r="60" spans="1:20" ht="12.75">
      <c r="A60" s="129"/>
      <c r="B60" s="452" t="s">
        <v>800</v>
      </c>
      <c r="C60" s="455" t="e">
        <f>H56/C$64</f>
        <v>#DIV/0!</v>
      </c>
      <c r="D60" s="452"/>
      <c r="E60" s="452"/>
      <c r="F60" s="452"/>
      <c r="G60" s="452"/>
      <c r="H60" s="452"/>
      <c r="I60" s="452"/>
      <c r="J60" s="452"/>
      <c r="K60" s="452"/>
      <c r="L60" s="452"/>
      <c r="M60" s="452"/>
      <c r="N60" s="452"/>
      <c r="O60" s="452"/>
      <c r="P60" s="452"/>
      <c r="Q60" s="129"/>
      <c r="R60" s="129"/>
      <c r="S60" s="129"/>
      <c r="T60" s="129"/>
    </row>
    <row r="61" spans="1:20" ht="12.75">
      <c r="A61" s="129"/>
      <c r="B61" s="452" t="s">
        <v>808</v>
      </c>
      <c r="C61" s="455" t="e">
        <f>K56/C$64</f>
        <v>#DIV/0!</v>
      </c>
      <c r="D61" s="452"/>
      <c r="E61" s="452"/>
      <c r="F61" s="452"/>
      <c r="G61" s="452"/>
      <c r="H61" s="452"/>
      <c r="I61" s="452"/>
      <c r="J61" s="452"/>
      <c r="K61" s="452"/>
      <c r="L61" s="452"/>
      <c r="M61" s="452"/>
      <c r="N61" s="452"/>
      <c r="O61" s="452"/>
      <c r="P61" s="452"/>
      <c r="Q61" s="129"/>
      <c r="R61" s="129"/>
      <c r="S61" s="129"/>
      <c r="T61" s="129"/>
    </row>
    <row r="62" spans="1:20" ht="12.75">
      <c r="A62" s="129"/>
      <c r="B62" s="452" t="s">
        <v>802</v>
      </c>
      <c r="C62" s="455" t="e">
        <f>N56/C$64</f>
        <v>#DIV/0!</v>
      </c>
      <c r="D62" s="452"/>
      <c r="E62" s="452"/>
      <c r="F62" s="452"/>
      <c r="G62" s="452"/>
      <c r="H62" s="452"/>
      <c r="I62" s="452"/>
      <c r="J62" s="452"/>
      <c r="K62" s="452"/>
      <c r="L62" s="452"/>
      <c r="M62" s="452"/>
      <c r="N62" s="452"/>
      <c r="O62" s="452"/>
      <c r="P62" s="452"/>
      <c r="Q62" s="129"/>
      <c r="R62" s="129"/>
      <c r="S62" s="129"/>
      <c r="T62" s="129"/>
    </row>
    <row r="63" spans="1:20" ht="12.75">
      <c r="A63" s="129"/>
      <c r="B63" s="452"/>
      <c r="C63" s="457" t="e">
        <f>SUM(C59:C62)</f>
        <v>#DIV/0!</v>
      </c>
      <c r="D63" s="452"/>
      <c r="E63" s="452"/>
      <c r="F63" s="452"/>
      <c r="G63" s="452"/>
      <c r="H63" s="452"/>
      <c r="I63" s="452"/>
      <c r="J63" s="452"/>
      <c r="K63" s="452"/>
      <c r="L63" s="452"/>
      <c r="M63" s="452"/>
      <c r="N63" s="452"/>
      <c r="O63" s="452"/>
      <c r="P63" s="452"/>
      <c r="Q63" s="129"/>
      <c r="R63" s="129"/>
      <c r="S63" s="129"/>
      <c r="T63" s="129"/>
    </row>
    <row r="64" spans="2:16" ht="12.75">
      <c r="B64" s="458"/>
      <c r="C64" s="459">
        <f>E56+H56+K56+N56</f>
        <v>0</v>
      </c>
      <c r="D64" s="458"/>
      <c r="E64" s="458"/>
      <c r="F64" s="458"/>
      <c r="G64" s="458"/>
      <c r="H64" s="458"/>
      <c r="I64" s="458"/>
      <c r="J64" s="458"/>
      <c r="K64" s="458"/>
      <c r="L64" s="458"/>
      <c r="M64" s="458"/>
      <c r="N64" s="458"/>
      <c r="O64" s="458"/>
      <c r="P64" s="458"/>
    </row>
    <row r="65" spans="2:16" ht="12.75">
      <c r="B65" s="458"/>
      <c r="C65" s="458"/>
      <c r="D65" s="458"/>
      <c r="E65" s="458"/>
      <c r="F65" s="458"/>
      <c r="G65" s="458"/>
      <c r="H65" s="458"/>
      <c r="I65" s="458"/>
      <c r="J65" s="458"/>
      <c r="K65" s="458"/>
      <c r="L65" s="458"/>
      <c r="M65" s="458"/>
      <c r="N65" s="458"/>
      <c r="O65" s="458"/>
      <c r="P65" s="458"/>
    </row>
    <row r="66" spans="2:16" ht="12.75">
      <c r="B66" s="458"/>
      <c r="C66" s="458"/>
      <c r="D66" s="458"/>
      <c r="E66" s="458"/>
      <c r="F66" s="458"/>
      <c r="G66" s="458"/>
      <c r="H66" s="458"/>
      <c r="I66" s="458"/>
      <c r="J66" s="458"/>
      <c r="K66" s="458"/>
      <c r="L66" s="458"/>
      <c r="M66" s="458"/>
      <c r="N66" s="458"/>
      <c r="O66" s="458"/>
      <c r="P66" s="458"/>
    </row>
    <row r="67" spans="2:16" ht="12.75">
      <c r="B67" s="458"/>
      <c r="C67" s="458"/>
      <c r="D67" s="458"/>
      <c r="E67" s="458"/>
      <c r="F67" s="458"/>
      <c r="G67" s="458"/>
      <c r="H67" s="458"/>
      <c r="I67" s="458"/>
      <c r="J67" s="458"/>
      <c r="K67" s="458"/>
      <c r="L67" s="458"/>
      <c r="M67" s="458"/>
      <c r="N67" s="458"/>
      <c r="O67" s="458"/>
      <c r="P67" s="458"/>
    </row>
    <row r="68" spans="2:16" ht="12.75">
      <c r="B68" s="458"/>
      <c r="C68" s="458"/>
      <c r="D68" s="458"/>
      <c r="E68" s="458"/>
      <c r="F68" s="458"/>
      <c r="G68" s="458"/>
      <c r="H68" s="458"/>
      <c r="I68" s="458"/>
      <c r="J68" s="458"/>
      <c r="K68" s="458"/>
      <c r="L68" s="458"/>
      <c r="M68" s="458"/>
      <c r="N68" s="458"/>
      <c r="O68" s="458"/>
      <c r="P68" s="458"/>
    </row>
    <row r="69" spans="2:16" ht="12.75">
      <c r="B69" s="458"/>
      <c r="C69" s="458"/>
      <c r="D69" s="458"/>
      <c r="E69" s="458"/>
      <c r="F69" s="458"/>
      <c r="G69" s="458"/>
      <c r="H69" s="458"/>
      <c r="I69" s="458"/>
      <c r="J69" s="458"/>
      <c r="K69" s="458"/>
      <c r="L69" s="458"/>
      <c r="M69" s="458"/>
      <c r="N69" s="458"/>
      <c r="O69" s="458"/>
      <c r="P69" s="458"/>
    </row>
    <row r="70" spans="2:16" ht="12.75">
      <c r="B70" s="458"/>
      <c r="C70" s="458"/>
      <c r="D70" s="458"/>
      <c r="E70" s="458"/>
      <c r="F70" s="458"/>
      <c r="G70" s="458"/>
      <c r="H70" s="458"/>
      <c r="I70" s="458"/>
      <c r="J70" s="458"/>
      <c r="K70" s="458"/>
      <c r="L70" s="458"/>
      <c r="M70" s="458"/>
      <c r="N70" s="458"/>
      <c r="O70" s="458"/>
      <c r="P70" s="458"/>
    </row>
    <row r="71" spans="2:16" ht="12.75">
      <c r="B71" s="458"/>
      <c r="C71" s="458"/>
      <c r="D71" s="458"/>
      <c r="E71" s="458"/>
      <c r="F71" s="458"/>
      <c r="G71" s="458"/>
      <c r="H71" s="458"/>
      <c r="I71" s="458"/>
      <c r="J71" s="458"/>
      <c r="K71" s="458"/>
      <c r="L71" s="458"/>
      <c r="M71" s="458"/>
      <c r="N71" s="458"/>
      <c r="O71" s="458"/>
      <c r="P71" s="458"/>
    </row>
    <row r="72" spans="2:16" ht="12.75">
      <c r="B72" s="458"/>
      <c r="C72" s="458"/>
      <c r="D72" s="458"/>
      <c r="E72" s="458"/>
      <c r="F72" s="458"/>
      <c r="G72" s="458"/>
      <c r="H72" s="458"/>
      <c r="I72" s="458"/>
      <c r="J72" s="458"/>
      <c r="K72" s="458"/>
      <c r="L72" s="458"/>
      <c r="M72" s="458"/>
      <c r="N72" s="458"/>
      <c r="O72" s="458"/>
      <c r="P72" s="458"/>
    </row>
  </sheetData>
  <sheetProtection password="CFA3" sheet="1" selectLockedCells="1"/>
  <mergeCells count="8">
    <mergeCell ref="S3:T3"/>
    <mergeCell ref="A40:A55"/>
    <mergeCell ref="A5:A39"/>
    <mergeCell ref="G1:M1"/>
    <mergeCell ref="C3:E3"/>
    <mergeCell ref="F3:H3"/>
    <mergeCell ref="I3:K3"/>
    <mergeCell ref="L3:N3"/>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1" sqref="D1"/>
    </sheetView>
  </sheetViews>
  <sheetFormatPr defaultColWidth="9.140625" defaultRowHeight="12.75"/>
  <cols>
    <col min="1" max="1" width="24.140625" style="0" customWidth="1"/>
    <col min="2" max="2" width="26.8515625" style="0" customWidth="1"/>
    <col min="3" max="3" width="16.7109375" style="0" customWidth="1"/>
    <col min="4" max="4" width="21.57421875" style="0" customWidth="1"/>
    <col min="5" max="5" width="13.421875" style="0" customWidth="1"/>
  </cols>
  <sheetData>
    <row r="1" spans="1:6" ht="28.5">
      <c r="A1" s="460" t="s">
        <v>809</v>
      </c>
      <c r="B1" s="461"/>
      <c r="C1" s="461"/>
      <c r="D1" s="461"/>
      <c r="E1" s="462" t="s">
        <v>880</v>
      </c>
      <c r="F1" s="24"/>
    </row>
    <row r="2" spans="1:6" ht="15">
      <c r="A2" s="463"/>
      <c r="B2" s="120"/>
      <c r="C2" s="120"/>
      <c r="D2" s="120"/>
      <c r="E2" s="120"/>
      <c r="F2" s="9"/>
    </row>
    <row r="3" spans="1:6" ht="15">
      <c r="A3" s="463" t="s">
        <v>810</v>
      </c>
      <c r="B3" s="464">
        <f>Input!C4</f>
        <v>0</v>
      </c>
      <c r="C3" s="120"/>
      <c r="D3" s="465" t="s">
        <v>213</v>
      </c>
      <c r="E3" s="466">
        <f>Input!C20</f>
        <v>0</v>
      </c>
      <c r="F3" s="9"/>
    </row>
    <row r="4" spans="1:6" ht="15">
      <c r="A4" s="27" t="s">
        <v>832</v>
      </c>
      <c r="B4" s="467">
        <f>Input!C5</f>
        <v>0</v>
      </c>
      <c r="C4" s="120"/>
      <c r="D4" s="465" t="s">
        <v>812</v>
      </c>
      <c r="E4" s="466">
        <f>Input!C45</f>
        <v>0</v>
      </c>
      <c r="F4" s="9"/>
    </row>
    <row r="5" spans="1:6" ht="15">
      <c r="A5" s="463" t="s">
        <v>811</v>
      </c>
      <c r="B5" s="464">
        <f>Input!C6</f>
        <v>0</v>
      </c>
      <c r="C5" s="120"/>
      <c r="D5" s="120"/>
      <c r="E5" s="120"/>
      <c r="F5" s="9"/>
    </row>
    <row r="6" spans="1:6" ht="15">
      <c r="A6" s="463" t="s">
        <v>230</v>
      </c>
      <c r="B6" s="464">
        <f>Input!C9</f>
        <v>0</v>
      </c>
      <c r="C6" s="120"/>
      <c r="D6" s="465" t="s">
        <v>814</v>
      </c>
      <c r="E6" s="468">
        <f>'Service Analysis'!P38</f>
        <v>0</v>
      </c>
      <c r="F6" s="9"/>
    </row>
    <row r="7" spans="1:6" ht="15">
      <c r="A7" s="463" t="s">
        <v>813</v>
      </c>
      <c r="B7" s="464">
        <f>Input!C10</f>
        <v>0</v>
      </c>
      <c r="C7" s="120"/>
      <c r="D7" s="465" t="s">
        <v>148</v>
      </c>
      <c r="E7" s="468">
        <f>'Service Analysis'!P55</f>
        <v>0</v>
      </c>
      <c r="F7" s="9"/>
    </row>
    <row r="8" spans="1:6" ht="15">
      <c r="A8" s="463" t="s">
        <v>207</v>
      </c>
      <c r="B8" s="464">
        <f>Input!C11</f>
        <v>0</v>
      </c>
      <c r="C8" s="120"/>
      <c r="D8" s="465" t="s">
        <v>816</v>
      </c>
      <c r="E8" s="469" t="e">
        <f>'Service Analysis'!T14</f>
        <v>#NUM!</v>
      </c>
      <c r="F8" s="9"/>
    </row>
    <row r="9" spans="1:6" ht="15">
      <c r="A9" s="463" t="s">
        <v>815</v>
      </c>
      <c r="B9" s="464">
        <f>Input!C12</f>
        <v>0</v>
      </c>
      <c r="C9" s="120"/>
      <c r="D9" s="465" t="s">
        <v>817</v>
      </c>
      <c r="E9" s="470" t="e">
        <f>LOOKUP(E6,YearsRate)</f>
        <v>#N/A</v>
      </c>
      <c r="F9" s="9"/>
    </row>
    <row r="10" spans="1:6" ht="15">
      <c r="A10" s="463" t="s">
        <v>143</v>
      </c>
      <c r="B10" s="464">
        <f>Input!C15</f>
        <v>0</v>
      </c>
      <c r="C10" s="120"/>
      <c r="D10" s="465" t="s">
        <v>819</v>
      </c>
      <c r="E10" s="469" t="e">
        <f>E8*E9</f>
        <v>#NUM!</v>
      </c>
      <c r="F10" s="9"/>
    </row>
    <row r="11" spans="1:6" ht="15">
      <c r="A11" s="463" t="s">
        <v>818</v>
      </c>
      <c r="B11" s="464">
        <f>Input!C16</f>
        <v>0</v>
      </c>
      <c r="C11" s="120"/>
      <c r="D11" s="465" t="s">
        <v>820</v>
      </c>
      <c r="E11" s="470" t="e">
        <f>(IF(B15="Married",E10,E10*0.75))</f>
        <v>#NUM!</v>
      </c>
      <c r="F11" s="9"/>
    </row>
    <row r="12" spans="1:6" ht="15">
      <c r="A12" s="463" t="s">
        <v>824</v>
      </c>
      <c r="B12" s="464">
        <f>Input!C24</f>
        <v>0</v>
      </c>
      <c r="C12" s="120"/>
      <c r="D12" s="465" t="s">
        <v>821</v>
      </c>
      <c r="E12" s="432">
        <f>Input!C44</f>
        <v>0</v>
      </c>
      <c r="F12" s="9"/>
    </row>
    <row r="13" spans="1:6" ht="15">
      <c r="A13" s="463" t="s">
        <v>272</v>
      </c>
      <c r="B13" s="464">
        <f>Input!C29</f>
        <v>0</v>
      </c>
      <c r="C13" s="120"/>
      <c r="D13" s="465" t="s">
        <v>823</v>
      </c>
      <c r="E13" s="471" t="b">
        <f>IF(E12="Guam",Tables!I20,IF(E12="Islands",Tables!K20,IF(E12="PI",Tables!L20)))</f>
        <v>0</v>
      </c>
      <c r="F13" s="9" t="str">
        <f>IF(E12="PI","Pesos","Dollars")</f>
        <v>Dollars</v>
      </c>
    </row>
    <row r="14" spans="1:6" ht="15">
      <c r="A14" s="463" t="s">
        <v>214</v>
      </c>
      <c r="B14" s="464">
        <f>Input!C19</f>
        <v>0</v>
      </c>
      <c r="C14" s="120"/>
      <c r="D14" s="465" t="s">
        <v>825</v>
      </c>
      <c r="E14" s="471" t="e">
        <f>E11*E13</f>
        <v>#NUM!</v>
      </c>
      <c r="F14" s="9" t="str">
        <f>F13</f>
        <v>Dollars</v>
      </c>
    </row>
    <row r="15" spans="1:6" ht="13.5" thickBot="1">
      <c r="A15" s="27" t="s">
        <v>215</v>
      </c>
      <c r="B15" s="467">
        <f>Input!C25</f>
        <v>0</v>
      </c>
      <c r="C15" s="120"/>
      <c r="D15" s="120"/>
      <c r="E15" s="120"/>
      <c r="F15" s="9"/>
    </row>
    <row r="16" spans="1:6" ht="12.75">
      <c r="A16" s="472"/>
      <c r="B16" s="120"/>
      <c r="C16" s="120"/>
      <c r="D16" s="426"/>
      <c r="E16" s="427" t="s">
        <v>845</v>
      </c>
      <c r="F16" s="428" t="s">
        <v>846</v>
      </c>
    </row>
    <row r="17" spans="1:6" ht="15.75" thickBot="1">
      <c r="A17" s="463" t="s">
        <v>826</v>
      </c>
      <c r="B17" s="120"/>
      <c r="C17" s="120"/>
      <c r="D17" s="429" t="s">
        <v>844</v>
      </c>
      <c r="E17" s="430" t="e">
        <f>LOOKUP(E6,OP)</f>
        <v>#N/A</v>
      </c>
      <c r="F17" s="431" t="e">
        <f>LOOKUP(E6,IP)</f>
        <v>#N/A</v>
      </c>
    </row>
    <row r="18" spans="1:6" ht="13.5" thickBot="1">
      <c r="A18" s="472"/>
      <c r="B18" s="120" t="s">
        <v>827</v>
      </c>
      <c r="C18" s="419">
        <f>Input!C41</f>
        <v>0</v>
      </c>
      <c r="D18" s="120"/>
      <c r="E18" s="120"/>
      <c r="F18" s="9"/>
    </row>
    <row r="19" spans="1:6" ht="13.5" thickBot="1">
      <c r="A19" s="472"/>
      <c r="B19" s="120"/>
      <c r="C19" s="473"/>
      <c r="D19" s="120"/>
      <c r="E19" s="120"/>
      <c r="F19" s="9"/>
    </row>
    <row r="20" spans="1:6" ht="13.5" thickBot="1">
      <c r="A20" s="472"/>
      <c r="B20" s="120" t="s">
        <v>828</v>
      </c>
      <c r="C20" s="420">
        <f>Input!C43</f>
        <v>0</v>
      </c>
      <c r="D20" s="120"/>
      <c r="E20" s="120"/>
      <c r="F20" s="9"/>
    </row>
    <row r="21" spans="1:6" ht="12.75">
      <c r="A21" s="472"/>
      <c r="B21" s="120" t="s">
        <v>829</v>
      </c>
      <c r="C21" s="469" t="e">
        <f>MAX(C20,E8)</f>
        <v>#NUM!</v>
      </c>
      <c r="D21" s="120"/>
      <c r="E21" s="120"/>
      <c r="F21" s="9"/>
    </row>
    <row r="22" spans="1:6" ht="12.75">
      <c r="A22" s="472"/>
      <c r="B22" s="120" t="s">
        <v>830</v>
      </c>
      <c r="C22" s="471">
        <f>E6+E7</f>
        <v>0</v>
      </c>
      <c r="D22" s="120"/>
      <c r="E22" s="120"/>
      <c r="F22" s="9"/>
    </row>
    <row r="23" spans="1:6" ht="12.75">
      <c r="A23" s="472"/>
      <c r="B23" s="120" t="s">
        <v>826</v>
      </c>
      <c r="C23" s="514" t="e">
        <f>IF(C18="No",0,MIN(E13*MAX(C20,C21)*9,MAX(C20,C21)*E13*12/52*C22))</f>
        <v>#NUM!</v>
      </c>
      <c r="D23" s="120"/>
      <c r="E23" s="468"/>
      <c r="F23" s="9"/>
    </row>
    <row r="24" spans="1:6" ht="13.5" thickBot="1">
      <c r="A24" s="472"/>
      <c r="B24" s="120"/>
      <c r="C24" s="120"/>
      <c r="D24" s="120"/>
      <c r="E24" s="120"/>
      <c r="F24" s="9"/>
    </row>
    <row r="25" spans="1:6" ht="15" thickBot="1">
      <c r="A25" s="463" t="s">
        <v>831</v>
      </c>
      <c r="B25" s="567">
        <f>Input!C42</f>
        <v>0</v>
      </c>
      <c r="C25" s="568"/>
      <c r="D25" s="120"/>
      <c r="E25" s="120"/>
      <c r="F25" s="9"/>
    </row>
    <row r="26" spans="1:6" ht="14.25">
      <c r="A26" s="463"/>
      <c r="B26" s="442"/>
      <c r="C26" s="442"/>
      <c r="D26" s="120"/>
      <c r="E26" s="120"/>
      <c r="F26" s="9"/>
    </row>
    <row r="27" spans="1:6" ht="14.25">
      <c r="A27" s="463" t="s">
        <v>867</v>
      </c>
      <c r="B27" s="442"/>
      <c r="C27" s="442"/>
      <c r="D27" s="120"/>
      <c r="E27" s="120"/>
      <c r="F27" s="9"/>
    </row>
    <row r="28" spans="1:6" ht="12.75">
      <c r="A28" s="576"/>
      <c r="B28" s="577"/>
      <c r="C28" s="577"/>
      <c r="D28" s="577"/>
      <c r="E28" s="577"/>
      <c r="F28" s="9"/>
    </row>
    <row r="29" spans="1:6" ht="12.75">
      <c r="A29" s="578"/>
      <c r="B29" s="577"/>
      <c r="C29" s="577"/>
      <c r="D29" s="577"/>
      <c r="E29" s="577"/>
      <c r="F29" s="9"/>
    </row>
    <row r="30" spans="1:6" ht="14.25">
      <c r="A30" s="463"/>
      <c r="B30" s="442"/>
      <c r="C30" s="442"/>
      <c r="D30" s="120"/>
      <c r="E30" s="120"/>
      <c r="F30" s="9"/>
    </row>
    <row r="31" spans="1:6" ht="15" thickBot="1">
      <c r="A31" s="463"/>
      <c r="B31" s="442"/>
      <c r="C31" s="442"/>
      <c r="D31" s="120"/>
      <c r="E31" s="120"/>
      <c r="F31" s="9"/>
    </row>
    <row r="32" spans="1:6" ht="14.25">
      <c r="A32" s="463" t="s">
        <v>868</v>
      </c>
      <c r="B32" s="579"/>
      <c r="C32" s="560"/>
      <c r="D32" s="582"/>
      <c r="E32" s="120"/>
      <c r="F32" s="9"/>
    </row>
    <row r="33" spans="1:6" ht="15" thickBot="1">
      <c r="A33" s="463"/>
      <c r="B33" s="580"/>
      <c r="C33" s="581"/>
      <c r="D33" s="583"/>
      <c r="E33" s="120"/>
      <c r="F33" s="9"/>
    </row>
    <row r="34" spans="1:6" ht="12.75">
      <c r="A34" s="16"/>
      <c r="B34" s="5"/>
      <c r="C34" s="5"/>
      <c r="D34" s="120"/>
      <c r="E34" s="120"/>
      <c r="F34" s="9"/>
    </row>
    <row r="35" spans="1:6" ht="12.75">
      <c r="A35" s="27" t="s">
        <v>853</v>
      </c>
      <c r="B35" s="569">
        <f>Input!C46</f>
        <v>0</v>
      </c>
      <c r="C35" s="569"/>
      <c r="D35" s="5"/>
      <c r="E35" s="5"/>
      <c r="F35" s="9"/>
    </row>
    <row r="36" spans="1:6" ht="13.5" thickBot="1">
      <c r="A36" s="27" t="s">
        <v>856</v>
      </c>
      <c r="B36" s="569">
        <f>Input!C47</f>
        <v>0</v>
      </c>
      <c r="C36" s="569"/>
      <c r="D36" s="5"/>
      <c r="E36" s="5"/>
      <c r="F36" s="9"/>
    </row>
    <row r="37" spans="1:6" ht="12.75">
      <c r="A37" s="27" t="s">
        <v>854</v>
      </c>
      <c r="B37" s="570"/>
      <c r="C37" s="571"/>
      <c r="D37" s="574"/>
      <c r="E37" s="5"/>
      <c r="F37" s="9"/>
    </row>
    <row r="38" spans="1:6" ht="13.5" thickBot="1">
      <c r="A38" s="474" t="s">
        <v>857</v>
      </c>
      <c r="B38" s="572"/>
      <c r="C38" s="573"/>
      <c r="D38" s="575"/>
      <c r="E38" s="8"/>
      <c r="F38" s="32"/>
    </row>
  </sheetData>
  <sheetProtection password="CFA3" sheet="1" selectLockedCells="1"/>
  <mergeCells count="8">
    <mergeCell ref="B25:C25"/>
    <mergeCell ref="B35:C35"/>
    <mergeCell ref="B37:C38"/>
    <mergeCell ref="B36:C36"/>
    <mergeCell ref="D37:D38"/>
    <mergeCell ref="A28:E29"/>
    <mergeCell ref="B32:C33"/>
    <mergeCell ref="D32:D33"/>
  </mergeCells>
  <printOptions/>
  <pageMargins left="0.7" right="0.7" top="0.75" bottom="0.75" header="0.3" footer="0.3"/>
  <pageSetup fitToHeight="1" fitToWidth="1" horizontalDpi="600" verticalDpi="600" orientation="portrait" scale="82" r:id="rId4"/>
  <drawing r:id="rId3"/>
  <legacyDrawing r:id="rId2"/>
</worksheet>
</file>

<file path=xl/worksheets/sheet9.xml><?xml version="1.0" encoding="utf-8"?>
<worksheet xmlns="http://schemas.openxmlformats.org/spreadsheetml/2006/main" xmlns:r="http://schemas.openxmlformats.org/officeDocument/2006/relationships">
  <sheetPr codeName="Sheet3">
    <tabColor indexed="13"/>
  </sheetPr>
  <dimension ref="A2:L131"/>
  <sheetViews>
    <sheetView zoomScalePageLayoutView="0" workbookViewId="0" topLeftCell="A1">
      <selection activeCell="H66" sqref="H66"/>
    </sheetView>
  </sheetViews>
  <sheetFormatPr defaultColWidth="9.140625" defaultRowHeight="12.75"/>
  <cols>
    <col min="1" max="1" width="43.00390625" style="0" customWidth="1"/>
    <col min="2" max="2" width="16.7109375" style="0" customWidth="1"/>
    <col min="3" max="3" width="16.00390625" style="0" customWidth="1"/>
    <col min="4" max="4" width="15.8515625" style="0" customWidth="1"/>
    <col min="5" max="5" width="10.00390625" style="0" customWidth="1"/>
    <col min="6" max="6" width="8.421875" style="0" customWidth="1"/>
  </cols>
  <sheetData>
    <row r="2" ht="15">
      <c r="D2" s="42" t="s">
        <v>218</v>
      </c>
    </row>
    <row r="3" ht="13.5">
      <c r="D3" s="43" t="s">
        <v>219</v>
      </c>
    </row>
    <row r="4" ht="12.75">
      <c r="D4" s="44" t="s">
        <v>151</v>
      </c>
    </row>
    <row r="5" ht="12.75">
      <c r="D5" s="44" t="s">
        <v>220</v>
      </c>
    </row>
    <row r="6" ht="12.75">
      <c r="D6" s="44" t="s">
        <v>221</v>
      </c>
    </row>
    <row r="7" ht="12.75">
      <c r="D7" s="44" t="s">
        <v>222</v>
      </c>
    </row>
    <row r="8" ht="12.75">
      <c r="D8" s="44" t="s">
        <v>223</v>
      </c>
    </row>
    <row r="9" ht="9.75" customHeight="1"/>
    <row r="10" spans="1:4" ht="12" customHeight="1">
      <c r="A10" s="23">
        <f ca="1">TODAY()</f>
        <v>42416</v>
      </c>
      <c r="D10" s="4"/>
    </row>
    <row r="11" spans="1:4" ht="12" customHeight="1">
      <c r="A11" s="23"/>
      <c r="D11" s="4"/>
    </row>
    <row r="12" spans="1:4" ht="12" customHeight="1">
      <c r="A12" s="23"/>
      <c r="D12" s="4"/>
    </row>
    <row r="13" spans="1:4" ht="12" customHeight="1">
      <c r="A13" s="23"/>
      <c r="D13" s="4"/>
    </row>
    <row r="14" spans="1:4" ht="12" customHeight="1">
      <c r="A14" s="23" t="str">
        <f>CONCATENATE(Input!C4," ",Input!C5," ",Input!C6)</f>
        <v>  </v>
      </c>
      <c r="D14" s="4"/>
    </row>
    <row r="15" ht="13.5" customHeight="1">
      <c r="A15" s="417">
        <f>Input!C9</f>
        <v>0</v>
      </c>
    </row>
    <row r="16" ht="14.25" customHeight="1">
      <c r="A16" s="486">
        <f>IF(Input!C10="","",Input!C10)</f>
      </c>
    </row>
    <row r="17" ht="15.75" customHeight="1">
      <c r="A17" s="189" t="str">
        <f>CONCATENATE(Input!C11,"    ",Input!C12,"   ",Input!C13)</f>
        <v>       </v>
      </c>
    </row>
    <row r="18" ht="14.25" customHeight="1">
      <c r="A18" s="177">
        <f>Input!C14</f>
        <v>0</v>
      </c>
    </row>
    <row r="19" ht="14.25" customHeight="1">
      <c r="A19" s="416"/>
    </row>
    <row r="34" ht="12.75">
      <c r="A34" s="45" t="s">
        <v>871</v>
      </c>
    </row>
    <row r="35" ht="12.75">
      <c r="F35" s="177"/>
    </row>
    <row r="36" spans="1:2" ht="30.75">
      <c r="A36" s="589" t="s">
        <v>428</v>
      </c>
      <c r="B36" s="590"/>
    </row>
    <row r="37" spans="1:4" ht="12.75">
      <c r="A37" s="45" t="s">
        <v>872</v>
      </c>
      <c r="D37" s="49"/>
    </row>
    <row r="38" spans="1:4" ht="12.75" customHeight="1">
      <c r="A38" s="45" t="s">
        <v>873</v>
      </c>
      <c r="D38" s="3"/>
    </row>
    <row r="39" spans="1:4" ht="12.75" customHeight="1">
      <c r="A39" s="45"/>
      <c r="D39" s="3"/>
    </row>
    <row r="40" spans="1:4" ht="12.75" customHeight="1">
      <c r="A40" s="45"/>
      <c r="D40" s="3"/>
    </row>
    <row r="41" spans="1:4" ht="12.75" customHeight="1" thickBot="1">
      <c r="A41" s="45"/>
      <c r="D41" s="3"/>
    </row>
    <row r="42" spans="1:6" ht="12.75">
      <c r="A42" s="585" t="s">
        <v>142</v>
      </c>
      <c r="B42" s="587" t="s">
        <v>227</v>
      </c>
      <c r="C42" s="587"/>
      <c r="D42" s="143">
        <f>'GMM Confirmation'!E4</f>
        <v>0</v>
      </c>
      <c r="E42" s="522"/>
      <c r="F42" s="584"/>
    </row>
    <row r="43" spans="1:6" ht="12.75">
      <c r="A43" s="586"/>
      <c r="B43" s="588"/>
      <c r="C43" s="588"/>
      <c r="D43" s="144"/>
      <c r="E43" s="26"/>
      <c r="F43" s="25"/>
    </row>
    <row r="44" spans="1:6" ht="12.75">
      <c r="A44" s="500"/>
      <c r="B44" s="501"/>
      <c r="C44" s="501"/>
      <c r="D44" s="502"/>
      <c r="E44" s="26"/>
      <c r="F44" s="25"/>
    </row>
    <row r="45" spans="1:6" ht="13.5" thickBot="1">
      <c r="A45" s="142" t="s">
        <v>874</v>
      </c>
      <c r="B45" s="145"/>
      <c r="C45" s="499"/>
      <c r="D45" s="490">
        <f>'GMM Confirmation'!E6</f>
        <v>0</v>
      </c>
      <c r="F45" s="138"/>
    </row>
    <row r="46" spans="1:4" ht="12.75">
      <c r="A46" s="496"/>
      <c r="B46" s="495"/>
      <c r="C46" s="495"/>
      <c r="D46" s="494"/>
    </row>
    <row r="47" spans="1:4" ht="12.75">
      <c r="A47" s="187" t="s">
        <v>875</v>
      </c>
      <c r="B47" s="493"/>
      <c r="C47" s="498"/>
      <c r="D47" s="492" t="e">
        <f>'GMM Confirmation'!E14</f>
        <v>#NUM!</v>
      </c>
    </row>
    <row r="48" spans="1:4" ht="12.75">
      <c r="A48" s="510"/>
      <c r="B48" s="503"/>
      <c r="C48" s="504"/>
      <c r="D48" s="497"/>
    </row>
    <row r="49" spans="1:4" ht="12.75">
      <c r="A49" s="510"/>
      <c r="B49" s="503"/>
      <c r="C49" s="503"/>
      <c r="D49" s="497"/>
    </row>
    <row r="50" spans="1:4" ht="12.75">
      <c r="A50" s="512" t="s">
        <v>876</v>
      </c>
      <c r="B50" s="190"/>
      <c r="C50" s="489" t="s">
        <v>878</v>
      </c>
      <c r="D50" s="488" t="s">
        <v>877</v>
      </c>
    </row>
    <row r="51" spans="1:4" ht="14.25" customHeight="1">
      <c r="A51" s="188"/>
      <c r="B51" s="110"/>
      <c r="C51" s="168" t="e">
        <f>'GMM Confirmation'!E17</f>
        <v>#N/A</v>
      </c>
      <c r="D51" s="487" t="e">
        <f>'GMM Confirmation'!F17</f>
        <v>#N/A</v>
      </c>
    </row>
    <row r="52" spans="1:4" ht="12.75">
      <c r="A52" s="16"/>
      <c r="B52" s="5"/>
      <c r="C52" s="5"/>
      <c r="D52" s="9"/>
    </row>
    <row r="53" spans="1:4" ht="12.75">
      <c r="A53" s="511" t="s">
        <v>826</v>
      </c>
      <c r="B53" s="483"/>
      <c r="C53" s="482"/>
      <c r="D53" s="481" t="e">
        <f>IF(OR('GMM Confirmation'!C18="No",'GMM Confirmation'!C18=""),"Not Eligible",'GMM Confirmation'!C23)</f>
        <v>#NUM!</v>
      </c>
    </row>
    <row r="54" spans="1:4" ht="12.75">
      <c r="A54" s="491"/>
      <c r="B54" s="485"/>
      <c r="C54" s="485"/>
      <c r="D54" s="484"/>
    </row>
    <row r="55" spans="1:4" ht="12.75">
      <c r="A55" s="510"/>
      <c r="B55" s="509"/>
      <c r="C55" s="503"/>
      <c r="D55" s="508"/>
    </row>
    <row r="56" spans="1:4" ht="13.5" thickBot="1">
      <c r="A56" s="507"/>
      <c r="B56" s="506"/>
      <c r="C56" s="506"/>
      <c r="D56" s="505"/>
    </row>
    <row r="65" ht="12.75">
      <c r="I65" s="109"/>
    </row>
    <row r="68" spans="1:4" ht="12.75">
      <c r="A68" s="397"/>
      <c r="B68" s="114"/>
      <c r="C68" s="114"/>
      <c r="D68" s="114"/>
    </row>
    <row r="69" spans="1:6" s="112" customFormat="1" ht="17.25">
      <c r="A69"/>
      <c r="B69"/>
      <c r="C69"/>
      <c r="D69"/>
      <c r="E69"/>
      <c r="F69"/>
    </row>
    <row r="131" spans="11:12" ht="12.75">
      <c r="K131" s="591"/>
      <c r="L131" s="591"/>
    </row>
  </sheetData>
  <sheetProtection password="CFA3" sheet="1" selectLockedCells="1"/>
  <mergeCells count="6">
    <mergeCell ref="E42:F42"/>
    <mergeCell ref="A42:A43"/>
    <mergeCell ref="B42:C42"/>
    <mergeCell ref="B43:C43"/>
    <mergeCell ref="A36:B36"/>
    <mergeCell ref="K131:L131"/>
  </mergeCells>
  <printOptions/>
  <pageMargins left="1.23" right="0.59" top="0.64" bottom="0.52" header="0.4" footer="0.52"/>
  <pageSetup fitToHeight="2" horizontalDpi="600" verticalDpi="600" orientation="portrait" scale="86" r:id="rId4"/>
  <drawing r:id="rId3"/>
  <legacyDrawing r:id="rId2"/>
  <oleObjects>
    <oleObject progId="WP9Doc" shapeId="5870114"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Mead</dc:creator>
  <cp:keywords/>
  <dc:description/>
  <cp:lastModifiedBy>Tara Mead</cp:lastModifiedBy>
  <cp:lastPrinted>2016-02-09T13:50:54Z</cp:lastPrinted>
  <dcterms:created xsi:type="dcterms:W3CDTF">2004-07-13T13:28:17Z</dcterms:created>
  <dcterms:modified xsi:type="dcterms:W3CDTF">2016-02-16T21:35:40Z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